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1" sheetId="1" r:id="rId3"/>
  </sheets>
  <definedNames/>
  <calcPr/>
</workbook>
</file>

<file path=xl/sharedStrings.xml><?xml version="1.0" encoding="utf-8"?>
<sst xmlns="http://schemas.openxmlformats.org/spreadsheetml/2006/main" count="341" uniqueCount="275">
  <si>
    <t>COSTS</t>
  </si>
  <si>
    <t>Exergy</t>
  </si>
  <si>
    <t>Enhet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</si>
  <si>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</si>
  <si>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</si>
  <si>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</si>
  <si>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</si>
  <si>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</si>
  <si>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</si>
  <si>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</si>
  <si>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</si>
  <si>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</si>
  <si>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</si>
  <si>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</si>
  <si>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</si>
  <si>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</si>
  <si>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</si>
  <si>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</si>
  <si>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</si>
  <si>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</si>
  <si>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</si>
  <si>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</si>
  <si>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</si>
  <si>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</si>
  <si>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R1</t>
  </si>
  <si>
    <t>SUM</t>
  </si>
  <si>
    <t>T_in</t>
  </si>
  <si>
    <t>T_outside=5 grader</t>
  </si>
  <si>
    <t>T_out</t>
  </si>
  <si>
    <t>n_carnot</t>
  </si>
  <si>
    <t>Duty
[kJ/3600h=kWh]</t>
  </si>
  <si>
    <t>Electricty</t>
  </si>
  <si>
    <t>Price</t>
  </si>
  <si>
    <t>Compressors</t>
  </si>
  <si>
    <t>K-1</t>
  </si>
  <si>
    <t>K-2</t>
  </si>
  <si>
    <t>K-3</t>
  </si>
  <si>
    <t>K-4</t>
  </si>
  <si>
    <t>K-5</t>
  </si>
  <si>
    <t>K-6</t>
  </si>
  <si>
    <t>K-7</t>
  </si>
  <si>
    <t>K-8</t>
  </si>
  <si>
    <t>K-9</t>
  </si>
  <si>
    <t>K-13</t>
  </si>
  <si>
    <t>KILDE</t>
  </si>
  <si>
    <t>centrifugal [kW]</t>
  </si>
  <si>
    <t>Index 2016</t>
  </si>
  <si>
    <t>http://www.chemengonline.com/current-economic-trends-march-2016/</t>
  </si>
  <si>
    <t>a</t>
  </si>
  <si>
    <t>omgjøring fra duty til elektrisitet</t>
  </si>
  <si>
    <t>https://en.wikipedia.org/wiki/Energy_conversion_efficiency</t>
  </si>
  <si>
    <t>b</t>
  </si>
  <si>
    <t>rho_ss304</t>
  </si>
  <si>
    <t>http://www.aksteel.com/pdf/markets_products/stainless/austenitic/304_304l_data_sheet.pdf</t>
  </si>
  <si>
    <t>n</t>
  </si>
  <si>
    <t>recidence time R1</t>
  </si>
  <si>
    <t>C_e</t>
  </si>
  <si>
    <t>Cost [NOK 2016]</t>
  </si>
  <si>
    <t>Stainless steal 304 factor</t>
  </si>
  <si>
    <t>Reactors</t>
  </si>
  <si>
    <t>void fraction</t>
  </si>
  <si>
    <t>R-2</t>
  </si>
  <si>
    <t>R-3</t>
  </si>
  <si>
    <t>R-4</t>
  </si>
  <si>
    <t>R-5</t>
  </si>
  <si>
    <t>R-6</t>
  </si>
  <si>
    <t>R-1</t>
  </si>
  <si>
    <t>SUM R1</t>
  </si>
  <si>
    <t>delta(l)</t>
  </si>
  <si>
    <t>delta(N)</t>
  </si>
  <si>
    <t>tau [s]</t>
  </si>
  <si>
    <t>V_outer</t>
  </si>
  <si>
    <t>delta(l_100%)</t>
  </si>
  <si>
    <t>delta(N_min)</t>
  </si>
  <si>
    <t>V_flow [m^3/s]</t>
  </si>
  <si>
    <t>V_inner</t>
  </si>
  <si>
    <t>delta(l)/delta(l_100%)</t>
  </si>
  <si>
    <t>V [m^3]</t>
  </si>
  <si>
    <t>V_wall</t>
  </si>
  <si>
    <t xml:space="preserve">delta(d) </t>
  </si>
  <si>
    <t>Tubes</t>
  </si>
  <si>
    <t>delta(t_w)</t>
  </si>
  <si>
    <t>d=delta(d)+d_min
</t>
  </si>
  <si>
    <t>delta(d_min)</t>
  </si>
  <si>
    <t>t_w=delta(t_w)+t_w_min</t>
  </si>
  <si>
    <t>delta(t_w_min)</t>
  </si>
  <si>
    <t xml:space="preserve">l </t>
  </si>
  <si>
    <t>V_all_tubes</t>
  </si>
  <si>
    <t>Cost u/R1 [NOK 2016]</t>
  </si>
  <si>
    <t>fm(Ni Inconel)/fm(ss)</t>
  </si>
  <si>
    <t>[NOK 2016]</t>
  </si>
  <si>
    <t>Exchangers</t>
  </si>
  <si>
    <t>U
[W/m^2K]</t>
  </si>
  <si>
    <t>HAR BARE ANTATT AT U LIGGER MELLOM 350-450</t>
  </si>
  <si>
    <t>Q
[W]</t>
  </si>
  <si>
    <t>DelT</t>
  </si>
  <si>
    <t>Shell and tube A [m^2]</t>
  </si>
  <si>
    <t>Cost[NOK 2016]</t>
  </si>
  <si>
    <t>Separators</t>
  </si>
  <si>
    <t>V-1</t>
  </si>
  <si>
    <t>V-2</t>
  </si>
  <si>
    <t>V-3</t>
  </si>
  <si>
    <t>V-4</t>
  </si>
  <si>
    <t>V-5</t>
  </si>
  <si>
    <t>V-6</t>
  </si>
  <si>
    <t>V-7</t>
  </si>
  <si>
    <t>V-8</t>
  </si>
  <si>
    <t>rho_L [kg/m^3]</t>
  </si>
  <si>
    <t>rho_v  [kg/m^3]</t>
  </si>
  <si>
    <t>u_t [m/s]</t>
  </si>
  <si>
    <t>Vv [m^3/s]</t>
  </si>
  <si>
    <t>Dv [m]</t>
  </si>
  <si>
    <t>Dv(ft round up)</t>
  </si>
  <si>
    <t>NY Dv [m]</t>
  </si>
  <si>
    <t>V_L [m^3/s]</t>
  </si>
  <si>
    <t>Hold up time [s]</t>
  </si>
  <si>
    <t>Volume held in vessel [m^3]</t>
  </si>
  <si>
    <t>h_v</t>
  </si>
  <si>
    <t>h_tot [m]</t>
  </si>
  <si>
    <t>P_operating</t>
  </si>
  <si>
    <t>P_design [N/m^2]</t>
  </si>
  <si>
    <t>SE (shear stress SS 304)</t>
  </si>
  <si>
    <t>t_w (m)</t>
  </si>
  <si>
    <t>rho (stainless steel 304) [kg/m^3]</t>
  </si>
  <si>
    <t>Shellmass [kg]</t>
  </si>
  <si>
    <t>C_e [$  USGC 2007]</t>
  </si>
  <si>
    <t>Absorber</t>
  </si>
  <si>
    <t>C-1</t>
  </si>
  <si>
    <t>C-2</t>
  </si>
  <si>
    <t>C-3</t>
  </si>
  <si>
    <t>C-4</t>
  </si>
  <si>
    <t>sievetrays</t>
  </si>
  <si>
    <t>Steam production cost calculation</t>
  </si>
  <si>
    <t>diameter [m]</t>
  </si>
  <si>
    <t>Molar flow steam[kmol/h]
</t>
  </si>
  <si>
    <t>Molar mass H2O[kg/kmol]</t>
  </si>
  <si>
    <t>Mass flow steam[ton/h]
</t>
  </si>
  <si>
    <t>Price MP steam[£/ton]
</t>
  </si>
  <si>
    <t>C_e [$ 2007]</t>
  </si>
  <si>
    <t>NOK/£(13:37 15.11.2016)</t>
  </si>
  <si>
    <t>Price [NOK/h]</t>
  </si>
  <si>
    <t>t_w</t>
  </si>
  <si>
    <t>V_sylinder [m^3]</t>
  </si>
  <si>
    <t>h_sylinder [m]</t>
  </si>
  <si>
    <t>ANTATT (15 TRINN PÅ 0.5M + ca 2m til)</t>
  </si>
  <si>
    <t>V_vegg[m^3]</t>
  </si>
  <si>
    <t>V_ToppBunn [m^3]</t>
  </si>
  <si>
    <t>V_tot_steel [m^3]</t>
  </si>
  <si>
    <t>rho_stainlesssteal 8.03 g/cm^3 --&gt; [kg/m^3]</t>
  </si>
  <si>
    <t>pressure vessel, vertical 304 ss [kg]</t>
  </si>
  <si>
    <t>C_e [$2007]</t>
  </si>
  <si>
    <t>PUMPS</t>
  </si>
  <si>
    <t>P-1</t>
  </si>
  <si>
    <t>P-2</t>
  </si>
  <si>
    <t>P-3</t>
  </si>
  <si>
    <t>P-4</t>
  </si>
  <si>
    <t>single-stage sentrifugal, flow [L/s]</t>
  </si>
  <si>
    <t>f_m(Ni Inconel)</t>
  </si>
  <si>
    <t>f_m(ss)</t>
  </si>
  <si>
    <t>Methane recycle costs</t>
  </si>
  <si>
    <t>C_e [$]</t>
  </si>
  <si>
    <t>f_er</t>
  </si>
  <si>
    <t>Mol CH4 [mol/h]</t>
  </si>
  <si>
    <t>fra hysys</t>
  </si>
  <si>
    <t>Explosion proof motor, power [kW]</t>
  </si>
  <si>
    <t>f_p</t>
  </si>
  <si>
    <t>Mol H2 [mol/h]</t>
  </si>
  <si>
    <t>f_i</t>
  </si>
  <si>
    <t>dHrx(H2) (kWh/mol H2)</t>
  </si>
  <si>
    <t>f_el</t>
  </si>
  <si>
    <t>dHrx(CH4) (kWh/mol CH4)</t>
  </si>
  <si>
    <t>f_c</t>
  </si>
  <si>
    <t>Duty R1 [kWh/h] heat energy</t>
  </si>
  <si>
    <t>f_s</t>
  </si>
  <si>
    <t>C_e_pump [NOK 2016]</t>
  </si>
  <si>
    <t>f_l</t>
  </si>
  <si>
    <t>fm (ss)</t>
  </si>
  <si>
    <t>OS</t>
  </si>
  <si>
    <t>D&amp;E</t>
  </si>
  <si>
    <t xml:space="preserve">n_CH4 [mol/h] </t>
  </si>
  <si>
    <t>antall mol som trengs for å tilfredstille energikravet</t>
  </si>
  <si>
    <t>X</t>
  </si>
  <si>
    <t>n_O2 [mol/h]</t>
  </si>
  <si>
    <t>beregnet mengde o2 som trengs</t>
  </si>
  <si>
    <t>C_ei_A [NOK 2016]</t>
  </si>
  <si>
    <t>Mengde luft [mol/h]</t>
  </si>
  <si>
    <t>C u/R1 [NOK 2016]</t>
  </si>
  <si>
    <t>n_N2 [mol/h]</t>
  </si>
  <si>
    <t>Røykgass består av N2,Ar,CO2,H20</t>
  </si>
  <si>
    <t>C R1 [NOK 2016]</t>
  </si>
  <si>
    <t>n_Ar [mol/h]</t>
  </si>
  <si>
    <t>C [NOK 2016]</t>
  </si>
  <si>
    <t>ISBL</t>
  </si>
  <si>
    <t>n_CO2 [mol/h]</t>
  </si>
  <si>
    <t>Tot fixed cap cost</t>
  </si>
  <si>
    <t>n_H20 [mol/h]</t>
  </si>
  <si>
    <t>n_tot_fluegas [mol/h]</t>
  </si>
  <si>
    <t>C_tot (exergy)</t>
  </si>
  <si>
    <t>x_N2</t>
  </si>
  <si>
    <t>C_cap(2016) [NOK]</t>
  </si>
  <si>
    <t>fixed</t>
  </si>
  <si>
    <t>x_Ar</t>
  </si>
  <si>
    <t>C_tot(2016)(exergy-tot cap)</t>
  </si>
  <si>
    <t>x_CO2</t>
  </si>
  <si>
    <t>x_H2O</t>
  </si>
  <si>
    <t>Cp_N2 [J/K*mol]</t>
  </si>
  <si>
    <t>Har funnet Cp for tempratur mellom Tinn=760 og Tut=220</t>
  </si>
  <si>
    <t>Energy extra from R1[kWh]</t>
  </si>
  <si>
    <t>tollj</t>
  </si>
  <si>
    <t>Cp_Ar [J/K*mol]</t>
  </si>
  <si>
    <t>Cost of extra energy R1 [NOK/h]</t>
  </si>
  <si>
    <t>tull</t>
  </si>
  <si>
    <t>Cp_CO2 [J/K*mol]</t>
  </si>
  <si>
    <t>Price for extra methane [NOK/h]</t>
  </si>
  <si>
    <t>Cp_H20 [J/K*mol]</t>
  </si>
  <si>
    <t>Feed Naturgas [kg/h]</t>
  </si>
  <si>
    <t>Cp_avg [kWh/K*mol]</t>
  </si>
  <si>
    <t>Cost of Feed Naturgas [NOK/h]</t>
  </si>
  <si>
    <t>E=nCPdT [kWh]</t>
  </si>
  <si>
    <t xml:space="preserve">duty fra fluegas </t>
  </si>
  <si>
    <t>Amount of Product NH3 [kg/h]</t>
  </si>
  <si>
    <t>Electricty [kWh/h]</t>
  </si>
  <si>
    <t>Cost Product[NOK/h]</t>
  </si>
  <si>
    <t>nOK/YEAR</t>
  </si>
  <si>
    <t>kg(CH4)/h excess</t>
  </si>
  <si>
    <t>Cost of steam [NOK/h]</t>
  </si>
  <si>
    <t>Electricity price[NOK/kWh]</t>
  </si>
  <si>
    <t>Cost of CH4 [NOK/h]</t>
  </si>
  <si>
    <t>Natural Gas Price (NOK / Million Metric British Thermal Unit)</t>
  </si>
  <si>
    <t>per 2016 sept</t>
  </si>
  <si>
    <t>ammonia price</t>
  </si>
  <si>
    <t>1 BTU</t>
  </si>
  <si>
    <t>GJ</t>
  </si>
  <si>
    <t>feed [kg/h]</t>
  </si>
  <si>
    <t>dHrx_CH4 [kJ/kmol]</t>
  </si>
  <si>
    <t>Working capital</t>
  </si>
  <si>
    <t>price natural gas [NOK/GJ]</t>
  </si>
  <si>
    <t>salary operators</t>
  </si>
  <si>
    <t>Mm_CH4 [kg/kmol]</t>
  </si>
  <si>
    <t>supervision</t>
  </si>
  <si>
    <t>føde [kmol/h]</t>
  </si>
  <si>
    <t>direct salary overhead</t>
  </si>
  <si>
    <t>feed [kJ/h]</t>
  </si>
  <si>
    <t>cost CH4 [NOK/year]</t>
  </si>
  <si>
    <t>feed [GJ/h]</t>
  </si>
  <si>
    <t>cost of steam [NOK/year]</t>
  </si>
  <si>
    <t>Price CH4 [NOK/h]</t>
  </si>
  <si>
    <t>compressor costs</t>
  </si>
  <si>
    <t>eiendomsskatt</t>
  </si>
  <si>
    <t xml:space="preserve">3% av ISBL </t>
  </si>
  <si>
    <t>SUM [NOK/h]</t>
  </si>
  <si>
    <t xml:space="preserve">Compressor costs </t>
  </si>
  <si>
    <t>annual sale income [NOK/year]</t>
  </si>
  <si>
    <t>total duty [kW] = [kWh/h]</t>
  </si>
  <si>
    <t>product [NOK/year]</t>
  </si>
  <si>
    <t>Cost [NOK/h]</t>
  </si>
  <si>
    <t>exergy [NOK/year]</t>
  </si>
  <si>
    <t>sum</t>
  </si>
  <si>
    <t>annual service expences</t>
  </si>
  <si>
    <t>vedlikehold</t>
  </si>
  <si>
    <t>1% av ISBL</t>
  </si>
  <si>
    <t>Variable costs</t>
  </si>
  <si>
    <t>Fixed costs of production</t>
  </si>
  <si>
    <t>annual expences</t>
  </si>
  <si>
    <t>5-30% av fixed capital investment</t>
  </si>
  <si>
    <t>salary operators (15 operators)</t>
  </si>
  <si>
    <t>variable</t>
  </si>
  <si>
    <t>40-60% av operating labour+supervision</t>
  </si>
  <si>
    <t>3-5%ISBL</t>
  </si>
  <si>
    <t>1-2%ISBL fixed cap</t>
  </si>
  <si>
    <t>Annual income</t>
  </si>
  <si>
    <t>SUMv[NOK/year]</t>
  </si>
  <si>
    <t>Annual service expenses</t>
  </si>
  <si>
    <t>Investment</t>
  </si>
  <si>
    <t>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</si>
</sst>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kr-414]"/>
  </numFmts>
  <fonts count="20">
    <font>
      <sz val="12.0"/>
      <color rgb="FF000000"/>
      <name val="Calibri"/>
    </font>
    <font>
      <b/>
      <sz val="12.0"/>
      <color rgb="FF000000"/>
      <name val="Calibri"/>
    </font>
    <font/>
    <font>
      <sz val="11.0"/>
      <color rgb="FF000000"/>
      <name val="Calibri"/>
    </font>
    <font>
      <sz val="11.0"/>
      <color rgb="FF1155CC"/>
      <name val="Inconsolata"/>
    </font>
    <font>
      <u/>
      <sz val="12.0"/>
      <color rgb="FF000000"/>
      <name val="Calibri"/>
    </font>
    <font>
      <u/>
      <color rgb="FF0000FF"/>
    </font>
    <font>
      <name val="Calibri"/>
    </font>
    <font>
      <sz val="11.0"/>
      <color rgb="FF000000"/>
      <name val="Inconsolata"/>
    </font>
    <font>
      <name val="Arial"/>
    </font>
    <font>
      <color rgb="FF000000"/>
      <name val="Arial"/>
    </font>
    <font>
      <b/>
    </font>
    <font>
      <sz val="12.0"/>
      <name val="Calibri"/>
    </font>
    <font>
      <b/>
      <sz val="11.0"/>
      <color rgb="FF333333"/>
      <name val="&quot;Helvetica Neue&quot;"/>
    </font>
    <font>
      <sz val="11.0"/>
      <color rgb="FF333333"/>
      <name val="&quot;Helvetica Neue&quot;"/>
    </font>
    <font>
      <u/>
      <sz val="12.0"/>
      <name val="Calibri"/>
    </font>
    <font>
      <b/>
      <sz val="12.0"/>
      <name val="Calibri"/>
    </font>
    <font>
      <color rgb="FF000000"/>
    </font>
    <font>
      <sz val="11.0"/>
      <name val="Inconsolata"/>
    </font>
    <font>
      <sz val="11.0"/>
      <color rgb="FFF7981D"/>
      <name val="Inconsolata"/>
    </font>
  </fonts>
  <fills count="14">
    <fill>
      <patternFill patternType="none"/>
    </fill>
    <fill>
      <patternFill patternType="lightGray"/>
    </fill>
    <fill>
      <patternFill patternType="solid">
        <fgColor rgb="FFE5B8B7"/>
        <bgColor rgb="FFE5B8B7"/>
      </patternFill>
    </fill>
    <fill>
      <patternFill patternType="solid">
        <fgColor rgb="FFF4CCCC"/>
        <bgColor rgb="FFF4CCCC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E6B8AF"/>
        <bgColor rgb="FFE6B8AF"/>
      </patternFill>
    </fill>
    <fill>
      <patternFill patternType="solid">
        <fgColor rgb="FFFF9900"/>
        <bgColor rgb="FFFF9900"/>
      </patternFill>
    </fill>
    <fill>
      <patternFill patternType="solid">
        <fgColor rgb="FFE5ECF9"/>
        <bgColor rgb="FFE5ECF9"/>
      </patternFill>
    </fill>
    <fill>
      <patternFill patternType="solid">
        <fgColor rgb="FFEFEFEF"/>
        <bgColor rgb="FFEFEFEF"/>
      </patternFill>
    </fill>
    <fill>
      <patternFill patternType="solid">
        <fgColor rgb="FFF6B26B"/>
        <bgColor rgb="FFF6B26B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/>
    </xf>
    <xf borderId="0" fillId="0" fontId="1" numFmtId="0" xfId="0" applyFont="1"/>
    <xf borderId="0" fillId="0" fontId="0" numFmtId="0" xfId="0" applyFont="1"/>
    <xf borderId="0" fillId="2" fontId="0" numFmtId="0" xfId="0" applyBorder="1" applyFill="1" applyFont="1"/>
    <xf borderId="0" fillId="2" fontId="0" numFmtId="0" xfId="0" applyAlignment="1" applyBorder="1" applyFont="1">
      <alignment/>
    </xf>
    <xf borderId="0" fillId="0" fontId="2" numFmtId="0" xfId="0" applyAlignment="1" applyFont="1">
      <alignment/>
    </xf>
    <xf borderId="0" fillId="3" fontId="2" numFmtId="0" xfId="0" applyAlignment="1" applyFill="1" applyFont="1">
      <alignment/>
    </xf>
    <xf borderId="0" fillId="0" fontId="0" numFmtId="0" xfId="0" applyBorder="1" applyFont="1"/>
    <xf borderId="0" fillId="0" fontId="0" numFmtId="0" xfId="0" applyFont="1"/>
    <xf borderId="0" fillId="4" fontId="0" numFmtId="0" xfId="0" applyBorder="1" applyFill="1" applyFont="1"/>
    <xf borderId="0" fillId="0" fontId="3" numFmtId="0" xfId="0" applyAlignment="1" applyFont="1">
      <alignment horizontal="center"/>
    </xf>
    <xf borderId="0" fillId="0" fontId="0" numFmtId="0" xfId="0" applyAlignment="1" applyFont="1">
      <alignment/>
    </xf>
    <xf borderId="0" fillId="5" fontId="4" numFmtId="0" xfId="0" applyAlignment="1" applyFill="1" applyFont="1">
      <alignment/>
    </xf>
    <xf borderId="0" fillId="4" fontId="0" numFmtId="0" xfId="0" applyAlignment="1" applyBorder="1" applyFont="1">
      <alignment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6" fontId="0" numFmtId="0" xfId="0" applyBorder="1" applyFill="1" applyFont="1"/>
    <xf borderId="0" fillId="0" fontId="5" numFmtId="0" xfId="0" applyFont="1"/>
    <xf borderId="1" fillId="0" fontId="0" numFmtId="0" xfId="0" applyBorder="1" applyFont="1"/>
    <xf borderId="2" fillId="0" fontId="0" numFmtId="0" xfId="0" applyBorder="1" applyFont="1"/>
    <xf borderId="3" fillId="0" fontId="2" numFmtId="0" xfId="0" applyAlignment="1" applyBorder="1" applyFont="1">
      <alignment/>
    </xf>
    <xf borderId="0" fillId="0" fontId="3" numFmtId="0" xfId="0" applyAlignment="1" applyFont="1">
      <alignment horizontal="center"/>
    </xf>
    <xf borderId="0" fillId="0" fontId="6" numFmtId="0" xfId="0" applyAlignment="1" applyFont="1">
      <alignment/>
    </xf>
    <xf borderId="4" fillId="6" fontId="0" numFmtId="0" xfId="0" applyAlignment="1" applyBorder="1" applyFont="1">
      <alignment/>
    </xf>
    <xf borderId="4" fillId="6" fontId="2" numFmtId="0" xfId="0" applyBorder="1" applyFont="1"/>
    <xf borderId="1" fillId="0" fontId="0" numFmtId="0" xfId="0" applyAlignment="1" applyBorder="1" applyFont="1">
      <alignment/>
    </xf>
    <xf borderId="0" fillId="0" fontId="7" numFmtId="0" xfId="0" applyAlignment="1" applyFont="1">
      <alignment/>
    </xf>
    <xf borderId="0" fillId="0" fontId="7" numFmtId="0" xfId="0" applyAlignment="1" applyFont="1">
      <alignment horizontal="right"/>
    </xf>
    <xf borderId="0" fillId="0" fontId="7" numFmtId="0" xfId="0" applyAlignment="1" applyFont="1">
      <alignment/>
    </xf>
    <xf borderId="0" fillId="0" fontId="7" numFmtId="0" xfId="0" applyAlignment="1" applyFont="1">
      <alignment horizontal="right"/>
    </xf>
    <xf borderId="0" fillId="0" fontId="7" numFmtId="0" xfId="0" applyAlignment="1" applyFont="1">
      <alignment horizontal="center"/>
    </xf>
    <xf borderId="0" fillId="5" fontId="8" numFmtId="0" xfId="0" applyAlignment="1" applyFont="1">
      <alignment/>
    </xf>
    <xf borderId="0" fillId="0" fontId="8" numFmtId="0" xfId="0" applyFont="1"/>
    <xf borderId="0" fillId="6" fontId="2" numFmtId="0" xfId="0" applyFont="1"/>
    <xf borderId="4" fillId="6" fontId="0" numFmtId="0" xfId="0" applyAlignment="1" applyBorder="1" applyFont="1">
      <alignment/>
    </xf>
    <xf borderId="2" fillId="0" fontId="0" numFmtId="0" xfId="0" applyAlignment="1" applyBorder="1" applyFont="1">
      <alignment/>
    </xf>
    <xf borderId="5" fillId="0" fontId="0" numFmtId="0" xfId="0" applyBorder="1" applyFont="1"/>
    <xf borderId="0" fillId="5" fontId="0" numFmtId="0" xfId="0" applyAlignment="1" applyFont="1">
      <alignment horizontal="left"/>
    </xf>
    <xf borderId="0" fillId="0" fontId="7" numFmtId="0" xfId="0" applyAlignment="1" applyFont="1">
      <alignment horizontal="right"/>
    </xf>
    <xf borderId="0" fillId="0" fontId="0" numFmtId="0" xfId="0" applyAlignment="1" applyFont="1">
      <alignment horizontal="right"/>
    </xf>
    <xf borderId="0" fillId="0" fontId="0" numFmtId="0" xfId="0" applyAlignment="1" applyFont="1">
      <alignment/>
    </xf>
    <xf borderId="4" fillId="6" fontId="0" numFmtId="0" xfId="0" applyAlignment="1" applyBorder="1" applyFont="1">
      <alignment/>
    </xf>
    <xf borderId="0" fillId="7" fontId="7" numFmtId="0" xfId="0" applyAlignment="1" applyFill="1" applyFont="1">
      <alignment/>
    </xf>
    <xf borderId="0" fillId="7" fontId="7" numFmtId="0" xfId="0" applyAlignment="1" applyFont="1">
      <alignment/>
    </xf>
    <xf borderId="0" fillId="0" fontId="9" numFmtId="0" xfId="0" applyAlignment="1" applyFont="1">
      <alignment/>
    </xf>
    <xf borderId="0" fillId="0" fontId="9" numFmtId="0" xfId="0" applyAlignment="1" applyFont="1">
      <alignment horizontal="right"/>
    </xf>
    <xf borderId="0" fillId="6" fontId="7" numFmtId="0" xfId="0" applyAlignment="1" applyFont="1">
      <alignment/>
    </xf>
    <xf borderId="0" fillId="6" fontId="7" numFmtId="0" xfId="0" applyAlignment="1" applyFont="1">
      <alignment/>
    </xf>
    <xf borderId="0" fillId="6" fontId="7" numFmtId="0" xfId="0" applyAlignment="1" applyFont="1">
      <alignment horizontal="right"/>
    </xf>
    <xf borderId="0" fillId="5" fontId="8" numFmtId="0" xfId="0" applyAlignment="1" applyFont="1">
      <alignment/>
    </xf>
    <xf borderId="0" fillId="6" fontId="0" numFmtId="0" xfId="0" applyAlignment="1" applyFont="1">
      <alignment/>
    </xf>
    <xf borderId="4" fillId="0" fontId="2" numFmtId="0" xfId="0" applyAlignment="1" applyBorder="1" applyFont="1">
      <alignment/>
    </xf>
    <xf borderId="0" fillId="0" fontId="0" numFmtId="0" xfId="0" applyAlignment="1" applyFont="1">
      <alignment/>
    </xf>
    <xf borderId="0" fillId="8" fontId="0" numFmtId="0" xfId="0" applyAlignment="1" applyFill="1" applyFont="1">
      <alignment/>
    </xf>
    <xf borderId="0" fillId="0" fontId="8" numFmtId="0" xfId="0" applyAlignment="1" applyFont="1">
      <alignment/>
    </xf>
    <xf borderId="0" fillId="6" fontId="2" numFmtId="0" xfId="0" applyAlignment="1" applyFont="1">
      <alignment/>
    </xf>
    <xf borderId="0" fillId="2" fontId="0" numFmtId="0" xfId="0" applyAlignment="1" applyBorder="1" applyFont="1">
      <alignment/>
    </xf>
    <xf borderId="0" fillId="0" fontId="0" numFmtId="0" xfId="0" applyAlignment="1" applyFont="1">
      <alignment horizontal="right"/>
    </xf>
    <xf borderId="0" fillId="5" fontId="10" numFmtId="0" xfId="0" applyAlignment="1" applyFont="1">
      <alignment/>
    </xf>
    <xf borderId="0" fillId="0" fontId="4" numFmtId="0" xfId="0" applyAlignment="1" applyFont="1">
      <alignment/>
    </xf>
    <xf borderId="0" fillId="0" fontId="0" numFmtId="0" xfId="0" applyAlignment="1" applyFont="1">
      <alignment/>
    </xf>
    <xf borderId="0" fillId="0" fontId="0" numFmtId="164" xfId="0" applyAlignment="1" applyFont="1" applyNumberFormat="1">
      <alignment/>
    </xf>
    <xf borderId="0" fillId="0" fontId="7" numFmtId="0" xfId="0" applyAlignment="1" applyFont="1">
      <alignment/>
    </xf>
    <xf borderId="0" fillId="0" fontId="1" numFmtId="0" xfId="0" applyAlignment="1" applyFont="1">
      <alignment/>
    </xf>
    <xf borderId="0" fillId="0" fontId="11" numFmtId="0" xfId="0" applyFont="1"/>
    <xf borderId="0" fillId="0" fontId="12" numFmtId="0" xfId="0" applyFont="1"/>
    <xf borderId="0" fillId="5" fontId="8" numFmtId="0" xfId="0" applyFont="1"/>
    <xf borderId="0" fillId="9" fontId="13" numFmtId="0" xfId="0" applyAlignment="1" applyFill="1" applyFont="1">
      <alignment horizontal="left"/>
    </xf>
    <xf borderId="0" fillId="10" fontId="14" numFmtId="0" xfId="0" applyAlignment="1" applyFill="1" applyFont="1">
      <alignment horizontal="right"/>
    </xf>
    <xf borderId="0" fillId="0" fontId="2" numFmtId="0" xfId="0" applyFont="1"/>
    <xf borderId="0" fillId="0" fontId="12" numFmtId="0" xfId="0" applyAlignment="1" applyFont="1">
      <alignment/>
    </xf>
    <xf borderId="0" fillId="0" fontId="12" numFmtId="0" xfId="0" applyFont="1"/>
    <xf borderId="0" fillId="0" fontId="15" numFmtId="0" xfId="0" applyFont="1"/>
    <xf borderId="0" fillId="8" fontId="2" numFmtId="0" xfId="0" applyFont="1"/>
    <xf borderId="0" fillId="0" fontId="12" numFmtId="0" xfId="0" applyAlignment="1" applyFont="1">
      <alignment/>
    </xf>
    <xf borderId="0" fillId="6" fontId="12" numFmtId="0" xfId="0" applyFont="1"/>
    <xf borderId="0" fillId="0" fontId="12" numFmtId="0" xfId="0" applyAlignment="1" applyFont="1">
      <alignment horizontal="left"/>
    </xf>
    <xf borderId="0" fillId="11" fontId="2" numFmtId="0" xfId="0" applyAlignment="1" applyFill="1" applyFont="1">
      <alignment/>
    </xf>
    <xf borderId="0" fillId="0" fontId="12" numFmtId="0" xfId="0" applyAlignment="1" applyFont="1">
      <alignment horizontal="right"/>
    </xf>
    <xf borderId="0" fillId="11" fontId="0" numFmtId="0" xfId="0" applyAlignment="1" applyFont="1">
      <alignment/>
    </xf>
    <xf borderId="0" fillId="0" fontId="16" numFmtId="0" xfId="0" applyFont="1"/>
    <xf borderId="0" fillId="0" fontId="0" numFmtId="0" xfId="0" applyAlignment="1" applyBorder="1" applyFont="1">
      <alignment/>
    </xf>
    <xf borderId="0" fillId="0" fontId="0" numFmtId="0" xfId="0" applyAlignment="1" applyBorder="1" applyFont="1">
      <alignment/>
    </xf>
    <xf borderId="0" fillId="12" fontId="17" numFmtId="0" xfId="0" applyAlignment="1" applyFill="1" applyFont="1">
      <alignment/>
    </xf>
    <xf borderId="0" fillId="12" fontId="17" numFmtId="0" xfId="0" applyFont="1"/>
    <xf borderId="0" fillId="12" fontId="0" numFmtId="0" xfId="0" applyFont="1"/>
    <xf borderId="0" fillId="12" fontId="12" numFmtId="0" xfId="0" applyFont="1"/>
    <xf borderId="0" fillId="12" fontId="2" numFmtId="0" xfId="0" applyAlignment="1" applyFont="1">
      <alignment/>
    </xf>
    <xf borderId="0" fillId="12" fontId="2" numFmtId="0" xfId="0" applyFont="1"/>
    <xf borderId="0" fillId="5" fontId="18" numFmtId="0" xfId="0" applyAlignment="1" applyFont="1">
      <alignment/>
    </xf>
    <xf borderId="0" fillId="5" fontId="19" numFmtId="0" xfId="0" applyAlignment="1" applyFont="1">
      <alignment/>
    </xf>
    <xf borderId="0" fillId="12" fontId="0" numFmtId="0" xfId="0" applyAlignment="1" applyFont="1">
      <alignment/>
    </xf>
    <xf borderId="0" fillId="12" fontId="7" numFmtId="0" xfId="0" applyAlignment="1" applyFont="1">
      <alignment/>
    </xf>
    <xf borderId="0" fillId="12" fontId="7" numFmtId="0" xfId="0" applyAlignment="1" applyFont="1">
      <alignment/>
    </xf>
    <xf borderId="0" fillId="0" fontId="12" numFmtId="0" xfId="0" applyAlignment="1" applyFont="1">
      <alignment/>
    </xf>
    <xf borderId="0" fillId="0" fontId="18" numFmtId="0" xfId="0" applyAlignment="1" applyFont="1">
      <alignment/>
    </xf>
    <xf borderId="0" fillId="0" fontId="12" numFmtId="0" xfId="0" applyAlignment="1" applyFont="1">
      <alignment/>
    </xf>
    <xf borderId="0" fillId="0" fontId="12" numFmtId="0" xfId="0" applyAlignment="1" applyFont="1">
      <alignment/>
    </xf>
    <xf borderId="0" fillId="0" fontId="18" numFmtId="0" xfId="0" applyAlignment="1" applyFont="1">
      <alignment/>
    </xf>
    <xf borderId="0" fillId="0" fontId="16" numFmtId="0" xfId="0" applyAlignment="1" applyFont="1">
      <alignment/>
    </xf>
    <xf borderId="0" fillId="13" fontId="2" numFmtId="0" xfId="0" applyAlignment="1" applyFill="1" applyFont="1">
      <alignment/>
    </xf>
    <xf borderId="0" fillId="13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ksteel.com/pdf/markets_products/stainless/austenitic/304_304l_data_sheet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26.11"/>
    <col customWidth="1" min="2" max="2" width="10.56"/>
    <col customWidth="1" min="3" max="3" width="18.56"/>
    <col customWidth="1" min="4" max="4" width="20.11"/>
    <col customWidth="1" min="5" max="5" width="26.11"/>
    <col customWidth="1" min="6" max="7" width="10.56"/>
    <col customWidth="1" min="8" max="8" width="23.78"/>
    <col customWidth="1" min="9" max="9" width="11.0"/>
    <col customWidth="1" min="10" max="10" width="11.67"/>
    <col customWidth="1" min="11" max="12" width="10.56"/>
    <col customWidth="1" min="13" max="13" width="26.11"/>
    <col customWidth="1" min="14" max="16" width="10.56"/>
    <col customWidth="1" min="17" max="17" width="26.11"/>
    <col customWidth="1" min="18" max="20" width="10.56"/>
    <col customWidth="1" min="21" max="21" width="26.11"/>
    <col customWidth="1" min="22" max="24" width="10.56"/>
    <col customWidth="1" min="25" max="25" width="26.11"/>
    <col customWidth="1" min="26" max="28" width="10.56"/>
    <col customWidth="1" min="29" max="29" width="26.11"/>
    <col customWidth="1" min="30" max="32" width="10.56"/>
    <col customWidth="1" min="33" max="33" width="26.11"/>
    <col customWidth="1" min="34" max="36" width="10.56"/>
    <col customWidth="1" min="37" max="37" width="26.11"/>
    <col customWidth="1" min="38" max="40" width="10.56"/>
    <col customWidth="1" min="41" max="41" width="26.11"/>
    <col customWidth="1" min="42" max="44" width="10.56"/>
    <col customWidth="1" min="45" max="45" width="26.11"/>
    <col customWidth="1" min="46" max="48" width="10.56"/>
    <col customWidth="1" min="49" max="49" width="26.11"/>
    <col customWidth="1" min="50" max="52" width="10.56"/>
    <col customWidth="1" min="53" max="53" width="26.11"/>
    <col customWidth="1" min="54" max="56" width="10.56"/>
    <col customWidth="1" min="57" max="57" width="26.11"/>
    <col customWidth="1" min="58" max="60" width="10.56"/>
  </cols>
  <sheetData>
    <row r="1">
      <c r="A1" s="1" t="s">
        <v>0</v>
      </c>
      <c r="B1" s="2" t="s">
        <v>1</v>
      </c>
      <c r="K1" s="2"/>
    </row>
    <row r="2">
      <c r="A2" s="2"/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5" t="s">
        <v>21</v>
      </c>
      <c r="V2" s="4" t="s">
        <v>22</v>
      </c>
      <c r="W2" s="4" t="s">
        <v>23</v>
      </c>
      <c r="X2" s="4"/>
      <c r="Y2" s="6" t="s">
        <v>24</v>
      </c>
      <c r="Z2" s="4" t="s">
        <v>25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8"/>
      <c r="BF2" s="8"/>
      <c r="BG2" s="8"/>
      <c r="BH2" s="8"/>
    </row>
    <row r="3">
      <c r="A3" s="2"/>
      <c r="B3" s="9" t="s">
        <v>26</v>
      </c>
      <c r="C3" s="2">
        <f>14+273.16</f>
        <v>287.16</v>
      </c>
      <c r="D3">
        <f t="shared" ref="D3:E3" si="1">C4</f>
        <v>363.5532934</v>
      </c>
      <c r="E3">
        <f t="shared" si="1"/>
        <v>392.5461141</v>
      </c>
      <c r="F3">
        <f>279.39983346326+273.16</f>
        <v>552.5598335</v>
      </c>
      <c r="G3">
        <f>273.16+367.8125396</f>
        <v>640.9725396</v>
      </c>
      <c r="H3">
        <f>895.606938+273.16</f>
        <v>1168.766938</v>
      </c>
      <c r="I3">
        <f> 413.942636892038 +273.16</f>
        <v>687.1026369</v>
      </c>
      <c r="J3" s="10">
        <f>403.3258603+273.16</f>
        <v>676.4858603</v>
      </c>
      <c r="K3" s="2">
        <f>273.16+283.9454903</f>
        <v>557.1054903</v>
      </c>
      <c r="L3">
        <f> 216.8894136 +273.16</f>
        <v>490.0494136</v>
      </c>
      <c r="M3">
        <f>6.203631954+273.16</f>
        <v>279.363632</v>
      </c>
      <c r="N3">
        <f>180.0068325+273.16</f>
        <v>453.1668325</v>
      </c>
      <c r="O3" s="10">
        <f>273.16+346.2482937</f>
        <v>619.4082937</v>
      </c>
      <c r="P3">
        <f>273.16+247.0045906</f>
        <v>520.1645906</v>
      </c>
      <c r="Q3">
        <f>273.16+ 73.0019268</f>
        <v>346.1619268</v>
      </c>
      <c r="R3">
        <f> 273.16+85.13079314</f>
        <v>358.2907931</v>
      </c>
      <c r="S3">
        <f>273.16+86.71354349</f>
        <v>359.8735435</v>
      </c>
      <c r="T3">
        <f>273.16+86.86293804</f>
        <v>360.022938</v>
      </c>
      <c r="U3">
        <f>273.16+87.14</f>
        <v>360.3</v>
      </c>
      <c r="V3">
        <f>273.16+34.7793854209456</f>
        <v>307.9393854</v>
      </c>
      <c r="W3">
        <f>273.16+300.0982854</f>
        <v>573.2582854</v>
      </c>
      <c r="Y3">
        <f>1033</f>
        <v>1033</v>
      </c>
    </row>
    <row r="4">
      <c r="A4" s="11" t="s">
        <v>27</v>
      </c>
      <c r="B4" s="9" t="s">
        <v>28</v>
      </c>
      <c r="C4" s="2">
        <f>90.39329338+273.16</f>
        <v>363.5532934</v>
      </c>
      <c r="D4" s="12">
        <f>119.3861141+273.16</f>
        <v>392.5461141</v>
      </c>
      <c r="E4">
        <f>273.16+153.160429654826</f>
        <v>426.3204297</v>
      </c>
      <c r="F4">
        <f>273.16+367.81253964088</f>
        <v>640.9725396</v>
      </c>
      <c r="G4">
        <f>273.16+520.886684022184</f>
        <v>794.046684</v>
      </c>
      <c r="H4">
        <f>273.16+ 413.9426532</f>
        <v>687.1026532</v>
      </c>
      <c r="I4">
        <f>273.16+337.9059793</f>
        <v>611.0659793</v>
      </c>
      <c r="J4" s="10">
        <f>283.9454903+273.16</f>
        <v>557.1054903</v>
      </c>
      <c r="K4" s="2">
        <f>202.949780921611+273.16</f>
        <v>476.1097809</v>
      </c>
      <c r="L4">
        <f> 35.99134767 +273.16</f>
        <v>309.1513477</v>
      </c>
      <c r="M4">
        <f>180.0068325+273.16</f>
        <v>453.1668325</v>
      </c>
      <c r="N4">
        <f>314.0069949+273.16</f>
        <v>587.1669949</v>
      </c>
      <c r="O4">
        <f>273.16+247.0045906</f>
        <v>520.1645906</v>
      </c>
      <c r="P4">
        <f>273.16+ 73.0019268</f>
        <v>346.1619268</v>
      </c>
      <c r="Q4">
        <f> 273.16+13.9959179821831</f>
        <v>287.155918</v>
      </c>
      <c r="R4">
        <f t="shared" ref="R4:U4" si="2">273.16+15</f>
        <v>288.16</v>
      </c>
      <c r="S4">
        <f t="shared" si="2"/>
        <v>288.16</v>
      </c>
      <c r="T4">
        <f t="shared" si="2"/>
        <v>288.16</v>
      </c>
      <c r="U4">
        <f t="shared" si="2"/>
        <v>288.16</v>
      </c>
      <c r="V4">
        <f>273.15+199.9999741</f>
        <v>473.1499741</v>
      </c>
      <c r="W4">
        <f>273.16+5.019584051</f>
        <v>278.1795841</v>
      </c>
      <c r="Y4">
        <f>493</f>
        <v>493</v>
      </c>
    </row>
    <row r="5">
      <c r="A5" s="2"/>
      <c r="B5" s="9" t="s">
        <v>29</v>
      </c>
      <c r="C5" s="2">
        <f t="shared" ref="C5:W5" si="3">1-278.16/((C4-C3)/ln(C4/C3))</f>
        <v>0.1411007016</v>
      </c>
      <c r="D5" s="2">
        <f t="shared" si="3"/>
        <v>0.2638627957</v>
      </c>
      <c r="E5" s="2">
        <f t="shared" si="3"/>
        <v>0.3202362571</v>
      </c>
      <c r="F5" s="2">
        <f t="shared" si="3"/>
        <v>0.5330324119</v>
      </c>
      <c r="G5" s="2">
        <f t="shared" si="3"/>
        <v>0.6108452352</v>
      </c>
      <c r="H5" s="2">
        <f t="shared" si="3"/>
        <v>0.6932211881</v>
      </c>
      <c r="I5" s="2">
        <f t="shared" si="3"/>
        <v>0.5709667478</v>
      </c>
      <c r="J5" s="2">
        <f t="shared" si="3"/>
        <v>0.5476082645</v>
      </c>
      <c r="K5" s="2">
        <f t="shared" si="3"/>
        <v>0.4604572556</v>
      </c>
      <c r="L5" s="2">
        <f t="shared" si="3"/>
        <v>0.291637344</v>
      </c>
      <c r="M5" s="2">
        <f t="shared" si="3"/>
        <v>0.2257978806</v>
      </c>
      <c r="N5" s="2">
        <f t="shared" si="3"/>
        <v>0.4622614765</v>
      </c>
      <c r="O5" s="2">
        <f t="shared" si="3"/>
        <v>0.5105772562</v>
      </c>
      <c r="P5" s="2">
        <f t="shared" si="3"/>
        <v>0.3489898833</v>
      </c>
      <c r="Q5" s="2">
        <f t="shared" si="3"/>
        <v>0.1190234591</v>
      </c>
      <c r="R5" s="2">
        <f t="shared" si="3"/>
        <v>0.136023922</v>
      </c>
      <c r="S5" s="2">
        <f t="shared" si="3"/>
        <v>0.1379955458</v>
      </c>
      <c r="T5" s="2">
        <f t="shared" si="3"/>
        <v>0.1381810375</v>
      </c>
      <c r="U5" s="2">
        <f t="shared" si="3"/>
        <v>0.1385247674</v>
      </c>
      <c r="V5" s="2">
        <f t="shared" si="3"/>
        <v>0.2768481232</v>
      </c>
      <c r="W5" s="2">
        <f t="shared" si="3"/>
        <v>0.3183885968</v>
      </c>
      <c r="X5" s="2"/>
      <c r="Y5" s="2">
        <f>1-278.16/((Y4-Y3)/ln(Y4/Y3))</f>
        <v>0.6189654627</v>
      </c>
    </row>
    <row r="6">
      <c r="A6" s="2"/>
      <c r="B6" s="13" t="s">
        <v>30</v>
      </c>
      <c r="C6" s="11">
        <f>-4152746.484*C5*(1/3600)</f>
        <v>-162.7654007</v>
      </c>
      <c r="D6" s="5">
        <f>-1682185.693*D5/3600</f>
        <v>-123.2961722</v>
      </c>
      <c r="E6" s="5">
        <f>-1915053.593*E5/3600</f>
        <v>-170.3526652</v>
      </c>
      <c r="F6" s="10">
        <f>-20834482.89*F5/3600</f>
        <v>-3084.848518</v>
      </c>
      <c r="G6" s="10">
        <f>-37699002.59*G5/3600</f>
        <v>-6396.737807</v>
      </c>
      <c r="H6" s="10">
        <f>162175508.6*H5/3600</f>
        <v>31228.74965</v>
      </c>
      <c r="I6" s="10">
        <f>24208483.92*I5/3600</f>
        <v>3839.510926</v>
      </c>
      <c r="J6" s="10">
        <f>38260117.39*J5/3600</f>
        <v>5819.876801</v>
      </c>
      <c r="K6" s="14">
        <f>25471837.94*K5/3600</f>
        <v>3257.970165</v>
      </c>
      <c r="L6" s="14">
        <f>171241465.6*L5/3600</f>
        <v>13872.33506</v>
      </c>
      <c r="M6" s="15">
        <f>-27579654.69*M5/3600</f>
        <v>-1729.840994</v>
      </c>
      <c r="N6" s="15">
        <f>-21598676.37*N5/3600</f>
        <v>-2773.398897</v>
      </c>
      <c r="O6" s="15">
        <f>16007248.29*O5/3600</f>
        <v>2270.260253</v>
      </c>
      <c r="P6" s="15">
        <f>27579600.62*P5/3600</f>
        <v>2673.611556</v>
      </c>
      <c r="Q6" s="15">
        <f>11109953.35*Q5/3600</f>
        <v>367.3180773</v>
      </c>
      <c r="R6" s="15">
        <f>11040306.43*R5/3600</f>
        <v>417.1516058</v>
      </c>
      <c r="S6" s="15">
        <f>11378275.8*S5/3600</f>
        <v>436.1531609</v>
      </c>
      <c r="T6" s="15">
        <f>11563327.25*T5/3600</f>
        <v>443.8423767</v>
      </c>
      <c r="U6" s="15">
        <f>(1.186*10^7)*U5/3600</f>
        <v>456.3621503</v>
      </c>
      <c r="V6" s="15">
        <f> -39988583.1*V5/3600</f>
        <v>-3075.212272</v>
      </c>
      <c r="W6" s="15">
        <f>107579742.1*W5/3600</f>
        <v>9514.489757</v>
      </c>
      <c r="X6" s="15"/>
      <c r="Y6" s="15">
        <f>F124*Y5</f>
        <v>10867.07631</v>
      </c>
    </row>
    <row r="7">
      <c r="A7" s="2"/>
      <c r="B7" s="9" t="s">
        <v>31</v>
      </c>
      <c r="C7" s="11">
        <f t="shared" ref="C7:W7" si="4">C6*0.6</f>
        <v>-97.65924042</v>
      </c>
      <c r="D7" s="2">
        <f t="shared" si="4"/>
        <v>-73.9777033</v>
      </c>
      <c r="E7" s="2">
        <f t="shared" si="4"/>
        <v>-102.2115991</v>
      </c>
      <c r="F7" s="2">
        <f t="shared" si="4"/>
        <v>-1850.909111</v>
      </c>
      <c r="G7" s="2">
        <f t="shared" si="4"/>
        <v>-3838.042684</v>
      </c>
      <c r="H7" s="2">
        <f t="shared" si="4"/>
        <v>18737.24979</v>
      </c>
      <c r="I7" s="2">
        <f t="shared" si="4"/>
        <v>2303.706555</v>
      </c>
      <c r="J7" s="2">
        <f t="shared" si="4"/>
        <v>3491.926081</v>
      </c>
      <c r="K7" s="2">
        <f t="shared" si="4"/>
        <v>1954.782099</v>
      </c>
      <c r="L7" s="2">
        <f t="shared" si="4"/>
        <v>8323.401035</v>
      </c>
      <c r="M7" s="2">
        <f t="shared" si="4"/>
        <v>-1037.904596</v>
      </c>
      <c r="N7" s="2">
        <f t="shared" si="4"/>
        <v>-1664.039338</v>
      </c>
      <c r="O7" s="2">
        <f t="shared" si="4"/>
        <v>1362.156152</v>
      </c>
      <c r="P7" s="2">
        <f t="shared" si="4"/>
        <v>1604.166933</v>
      </c>
      <c r="Q7" s="2">
        <f t="shared" si="4"/>
        <v>220.3908464</v>
      </c>
      <c r="R7" s="2">
        <f t="shared" si="4"/>
        <v>250.2909635</v>
      </c>
      <c r="S7" s="2">
        <f t="shared" si="4"/>
        <v>261.6918965</v>
      </c>
      <c r="T7" s="2">
        <f t="shared" si="4"/>
        <v>266.305426</v>
      </c>
      <c r="U7" s="2">
        <f t="shared" si="4"/>
        <v>273.8172902</v>
      </c>
      <c r="V7" s="2">
        <f t="shared" si="4"/>
        <v>-1845.127363</v>
      </c>
      <c r="W7" s="2">
        <f t="shared" si="4"/>
        <v>5708.693854</v>
      </c>
      <c r="X7" s="2"/>
      <c r="Y7" s="2">
        <f>Y6*0.6</f>
        <v>6520.245784</v>
      </c>
    </row>
    <row r="8">
      <c r="A8" s="2"/>
      <c r="B8" s="16" t="s">
        <v>32</v>
      </c>
      <c r="C8" s="2">
        <f t="shared" ref="C8:W8" si="5">C7*0.3</f>
        <v>-29.29777213</v>
      </c>
      <c r="D8" s="2">
        <f t="shared" si="5"/>
        <v>-22.19331099</v>
      </c>
      <c r="E8" s="2">
        <f t="shared" si="5"/>
        <v>-30.66347974</v>
      </c>
      <c r="F8" s="2">
        <f t="shared" si="5"/>
        <v>-555.2727332</v>
      </c>
      <c r="G8" s="2">
        <f t="shared" si="5"/>
        <v>-1151.412805</v>
      </c>
      <c r="H8" s="2">
        <f t="shared" si="5"/>
        <v>5621.174937</v>
      </c>
      <c r="I8" s="2">
        <f t="shared" si="5"/>
        <v>691.1119666</v>
      </c>
      <c r="J8" s="2">
        <f t="shared" si="5"/>
        <v>1047.577824</v>
      </c>
      <c r="K8" s="2">
        <f t="shared" si="5"/>
        <v>586.4346297</v>
      </c>
      <c r="L8" s="2">
        <f t="shared" si="5"/>
        <v>2497.020311</v>
      </c>
      <c r="M8" s="2">
        <f t="shared" si="5"/>
        <v>-311.3713788</v>
      </c>
      <c r="N8" s="2">
        <f t="shared" si="5"/>
        <v>-499.2118015</v>
      </c>
      <c r="O8" s="2">
        <f t="shared" si="5"/>
        <v>408.6468455</v>
      </c>
      <c r="P8" s="2">
        <f t="shared" si="5"/>
        <v>481.25008</v>
      </c>
      <c r="Q8" s="2">
        <f t="shared" si="5"/>
        <v>66.11725391</v>
      </c>
      <c r="R8" s="2">
        <f t="shared" si="5"/>
        <v>75.08728905</v>
      </c>
      <c r="S8" s="2">
        <f t="shared" si="5"/>
        <v>78.50756896</v>
      </c>
      <c r="T8" s="2">
        <f t="shared" si="5"/>
        <v>79.89162781</v>
      </c>
      <c r="U8" s="2">
        <f t="shared" si="5"/>
        <v>82.14518706</v>
      </c>
      <c r="V8" s="2">
        <f t="shared" si="5"/>
        <v>-553.538209</v>
      </c>
      <c r="W8" s="2">
        <f t="shared" si="5"/>
        <v>1712.608156</v>
      </c>
      <c r="X8" s="2"/>
      <c r="Y8" s="2">
        <f>Y7*0.3</f>
        <v>1956.073735</v>
      </c>
      <c r="Z8">
        <f>SUM(C8:Y8)</f>
        <v>12230.68592</v>
      </c>
    </row>
    <row r="9">
      <c r="A9" s="2"/>
    </row>
    <row r="10">
      <c r="A10" s="2"/>
      <c r="K10" s="10"/>
    </row>
    <row r="11">
      <c r="A11" s="17" t="s">
        <v>33</v>
      </c>
      <c r="C11" s="18" t="s">
        <v>34</v>
      </c>
      <c r="D11" s="19" t="s">
        <v>35</v>
      </c>
      <c r="E11" s="18" t="s">
        <v>36</v>
      </c>
      <c r="F11" s="19" t="s">
        <v>37</v>
      </c>
      <c r="G11" s="19" t="s">
        <v>38</v>
      </c>
      <c r="H11" s="19" t="s">
        <v>39</v>
      </c>
      <c r="I11" s="19" t="s">
        <v>40</v>
      </c>
      <c r="J11" s="19" t="s">
        <v>41</v>
      </c>
      <c r="K11" s="20" t="s">
        <v>42</v>
      </c>
      <c r="L11" s="20" t="s">
        <v>43</v>
      </c>
      <c r="M11" s="5" t="s">
        <v>25</v>
      </c>
      <c r="N11" s="2" t="s">
        <v>44</v>
      </c>
    </row>
    <row r="12">
      <c r="A12" s="2" t="s">
        <v>45</v>
      </c>
      <c r="C12" s="21">
        <f> 4022185.121/3600</f>
        <v>1117.273645</v>
      </c>
      <c r="D12" s="21">
        <f>5123509.59/3600</f>
        <v>1423.197108</v>
      </c>
      <c r="E12" s="21">
        <f>6525215.66/3600</f>
        <v>1812.559906</v>
      </c>
      <c r="F12" s="21">
        <f> 16990443.49/3600</f>
        <v>4719.567636</v>
      </c>
      <c r="G12" s="10">
        <f>11146943.12/3600</f>
        <v>3096.373089</v>
      </c>
      <c r="H12" s="10">
        <f>11384631.1753112/3600</f>
        <v>3162.397549</v>
      </c>
      <c r="I12" s="10">
        <f>11681700.3112935/3600</f>
        <v>3244.916753</v>
      </c>
      <c r="J12" s="10">
        <f> 12237226.425777/3600</f>
        <v>3399.229563</v>
      </c>
      <c r="K12" s="10">
        <f>413365.323991845/3600</f>
        <v>114.8237011</v>
      </c>
      <c r="L12" s="10">
        <f>5880698.375/3600</f>
        <v>1633.527326</v>
      </c>
      <c r="N12" s="11" t="s">
        <v>46</v>
      </c>
      <c r="O12" s="2" t="s">
        <v>47</v>
      </c>
    </row>
    <row r="13">
      <c r="A13" s="2" t="s">
        <v>48</v>
      </c>
      <c r="B13" s="2">
        <v>490000.0</v>
      </c>
      <c r="N13" s="11" t="s">
        <v>49</v>
      </c>
      <c r="O13" s="2" t="s">
        <v>50</v>
      </c>
    </row>
    <row r="14">
      <c r="A14" s="2" t="s">
        <v>51</v>
      </c>
      <c r="B14" s="2">
        <v>16800.0</v>
      </c>
      <c r="N14" s="11" t="s">
        <v>52</v>
      </c>
      <c r="O14" s="22" t="s">
        <v>53</v>
      </c>
    </row>
    <row r="15">
      <c r="A15" s="2" t="s">
        <v>54</v>
      </c>
      <c r="B15" s="11">
        <v>0.6</v>
      </c>
      <c r="K15" s="2"/>
      <c r="N15" s="5" t="s">
        <v>55</v>
      </c>
    </row>
    <row r="16">
      <c r="A16" s="8" t="s">
        <v>56</v>
      </c>
      <c r="C16">
        <f t="shared" ref="C16:L16" si="6">$B13+$B14*(C12)^$B15</f>
        <v>1622935.054</v>
      </c>
      <c r="D16">
        <f t="shared" si="6"/>
        <v>1799991.004</v>
      </c>
      <c r="E16">
        <f t="shared" si="6"/>
        <v>2004553.794</v>
      </c>
      <c r="F16">
        <f t="shared" si="6"/>
        <v>3179370.336</v>
      </c>
      <c r="G16">
        <f t="shared" si="6"/>
        <v>2578436.392</v>
      </c>
      <c r="H16">
        <f t="shared" si="6"/>
        <v>2605042.802</v>
      </c>
      <c r="I16">
        <f t="shared" si="6"/>
        <v>2637985.857</v>
      </c>
      <c r="J16">
        <f t="shared" si="6"/>
        <v>2698704.311</v>
      </c>
      <c r="K16">
        <f t="shared" si="6"/>
        <v>779286.5263</v>
      </c>
      <c r="L16">
        <f t="shared" si="6"/>
        <v>1912935.204</v>
      </c>
      <c r="M16" s="2">
        <f>sum(C16:L16)</f>
        <v>21819241.28</v>
      </c>
    </row>
    <row r="17">
      <c r="A17" s="23" t="s">
        <v>57</v>
      </c>
      <c r="B17" s="24">
        <f>M16*B18*(556.8/509.7)*8.26876804</f>
        <v>256217269.8</v>
      </c>
      <c r="K17" s="2"/>
    </row>
    <row r="18">
      <c r="A18" s="11" t="s">
        <v>58</v>
      </c>
      <c r="B18" s="5">
        <v>1.3</v>
      </c>
      <c r="C18" s="5"/>
      <c r="K18" s="2"/>
    </row>
    <row r="19">
      <c r="A19" s="17" t="s">
        <v>59</v>
      </c>
      <c r="C19" s="5" t="s">
        <v>60</v>
      </c>
      <c r="D19" s="19" t="s">
        <v>61</v>
      </c>
      <c r="E19" s="18" t="s">
        <v>62</v>
      </c>
      <c r="F19" s="19" t="s">
        <v>63</v>
      </c>
      <c r="G19" s="18" t="s">
        <v>64</v>
      </c>
      <c r="H19" s="25" t="s">
        <v>65</v>
      </c>
      <c r="L19" s="18" t="s">
        <v>66</v>
      </c>
      <c r="M19" s="5" t="s">
        <v>67</v>
      </c>
      <c r="N19" s="5" t="s">
        <v>25</v>
      </c>
      <c r="O19" s="26" t="s">
        <v>68</v>
      </c>
      <c r="P19" s="5">
        <v>4.0</v>
      </c>
      <c r="Q19" s="26" t="s">
        <v>69</v>
      </c>
      <c r="R19" s="27">
        <f>P21*360</f>
        <v>240</v>
      </c>
    </row>
    <row r="20">
      <c r="A20" s="5" t="s">
        <v>70</v>
      </c>
      <c r="B20" s="5"/>
      <c r="C20" s="11">
        <v>0.45</v>
      </c>
      <c r="D20" s="11">
        <v>5.0</v>
      </c>
      <c r="E20" s="2">
        <f t="shared" ref="E20:G20" si="7">5</f>
        <v>5</v>
      </c>
      <c r="F20" s="2">
        <f t="shared" si="7"/>
        <v>5</v>
      </c>
      <c r="G20" s="2">
        <f t="shared" si="7"/>
        <v>5</v>
      </c>
      <c r="H20" s="2">
        <f>33</f>
        <v>33</v>
      </c>
      <c r="I20" s="28"/>
      <c r="J20" s="29"/>
      <c r="K20" s="5" t="s">
        <v>71</v>
      </c>
      <c r="L20" s="2">
        <f>(3.14*L26)*((L24+L25*2)/2)^2</f>
        <v>0.3915405556</v>
      </c>
      <c r="O20" s="26" t="s">
        <v>72</v>
      </c>
      <c r="P20" s="5">
        <v>6.0</v>
      </c>
      <c r="Q20" s="26" t="s">
        <v>73</v>
      </c>
      <c r="R20" s="27">
        <v>40.0</v>
      </c>
    </row>
    <row r="21">
      <c r="A21" s="5" t="s">
        <v>74</v>
      </c>
      <c r="D21">
        <f>26260/3600</f>
        <v>7.294444444</v>
      </c>
      <c r="E21">
        <f>18460/3600</f>
        <v>5.127777778</v>
      </c>
      <c r="F21">
        <f>15140/3600</f>
        <v>4.205555556</v>
      </c>
      <c r="G21">
        <f>11880/3600</f>
        <v>3.3</v>
      </c>
      <c r="H21">
        <f>1409/3600</f>
        <v>0.3913888889</v>
      </c>
      <c r="I21" s="28"/>
      <c r="J21" s="29"/>
      <c r="K21" s="5" t="s">
        <v>75</v>
      </c>
      <c r="L21" s="2">
        <f>3.14*($L$24/2)^2*L26</f>
        <v>0.2450072222</v>
      </c>
      <c r="O21" s="26" t="s">
        <v>76</v>
      </c>
      <c r="P21">
        <f>P19/P20</f>
        <v>0.6666666667</v>
      </c>
    </row>
    <row r="22">
      <c r="A22" s="11" t="s">
        <v>77</v>
      </c>
      <c r="C22" s="5"/>
      <c r="D22">
        <f t="shared" ref="D22:H22" si="8">D21*D20/$C$20</f>
        <v>81.04938272</v>
      </c>
      <c r="E22">
        <f t="shared" si="8"/>
        <v>56.97530864</v>
      </c>
      <c r="F22">
        <f t="shared" si="8"/>
        <v>46.72839506</v>
      </c>
      <c r="G22">
        <f t="shared" si="8"/>
        <v>36.66666667</v>
      </c>
      <c r="H22">
        <f t="shared" si="8"/>
        <v>28.70185185</v>
      </c>
      <c r="I22" s="28"/>
      <c r="J22" s="30"/>
      <c r="K22" s="5" t="s">
        <v>78</v>
      </c>
      <c r="L22" s="2">
        <f>L20-L21</f>
        <v>0.1465333333</v>
      </c>
      <c r="O22" s="5" t="s">
        <v>79</v>
      </c>
      <c r="P22">
        <f>P21*0.16</f>
        <v>0.1066666667</v>
      </c>
    </row>
    <row r="23">
      <c r="A23" s="2" t="s">
        <v>48</v>
      </c>
      <c r="B23" s="2">
        <v>53000.0</v>
      </c>
      <c r="I23" s="26"/>
      <c r="J23" s="27"/>
      <c r="K23" s="5" t="s">
        <v>80</v>
      </c>
      <c r="L23" s="11">
        <f>R20+R19</f>
        <v>280</v>
      </c>
      <c r="O23" s="5" t="s">
        <v>81</v>
      </c>
      <c r="P23">
        <f>P21*0.02</f>
        <v>0.01333333333</v>
      </c>
    </row>
    <row r="24">
      <c r="A24" s="2" t="s">
        <v>51</v>
      </c>
      <c r="B24" s="2">
        <v>28000.0</v>
      </c>
      <c r="I24" s="26"/>
      <c r="J24" s="27"/>
      <c r="K24" s="5" t="s">
        <v>82</v>
      </c>
      <c r="L24" s="2">
        <f>P24+P22</f>
        <v>0.1766666667</v>
      </c>
      <c r="O24" s="5" t="s">
        <v>83</v>
      </c>
      <c r="P24" s="5">
        <v>0.07</v>
      </c>
    </row>
    <row r="25">
      <c r="A25" s="2" t="s">
        <v>54</v>
      </c>
      <c r="B25" s="2">
        <v>0.8</v>
      </c>
      <c r="I25" s="26"/>
      <c r="J25" s="30"/>
      <c r="K25" s="5" t="s">
        <v>84</v>
      </c>
      <c r="L25" s="2">
        <f>P23+P25</f>
        <v>0.02333333333</v>
      </c>
      <c r="O25" s="5" t="s">
        <v>85</v>
      </c>
      <c r="P25" s="5">
        <v>0.01</v>
      </c>
    </row>
    <row r="26">
      <c r="K26" s="5" t="s">
        <v>86</v>
      </c>
      <c r="L26" s="2">
        <f>10</f>
        <v>10</v>
      </c>
    </row>
    <row r="27">
      <c r="A27" s="2" t="s">
        <v>56</v>
      </c>
      <c r="C27" s="2"/>
      <c r="D27" s="2">
        <f t="shared" ref="D27:H27" si="9">$B$23+$B$24*(D22)^$B$25</f>
        <v>995231.8936</v>
      </c>
      <c r="E27" s="2">
        <f t="shared" si="9"/>
        <v>763734.4727</v>
      </c>
      <c r="F27" s="2">
        <f t="shared" si="9"/>
        <v>659488.7136</v>
      </c>
      <c r="G27" s="2">
        <f t="shared" si="9"/>
        <v>552545.6433</v>
      </c>
      <c r="H27" s="2">
        <f t="shared" si="9"/>
        <v>463663.3694</v>
      </c>
      <c r="K27" s="31" t="s">
        <v>87</v>
      </c>
      <c r="L27">
        <f>L22*L23</f>
        <v>41.02933333</v>
      </c>
      <c r="M27" s="32">
        <f>$B$23+$B$24*(L27)^$B$25</f>
        <v>599554.6577</v>
      </c>
      <c r="N27" s="33">
        <f>D27+E27+F27+G27+H27</f>
        <v>3434664.093</v>
      </c>
    </row>
    <row r="28">
      <c r="A28" s="34" t="s">
        <v>88</v>
      </c>
      <c r="B28" s="24">
        <f>N27*(556.8/509.7)*8.26876804</f>
        <v>31024848.67</v>
      </c>
      <c r="K28" s="31" t="s">
        <v>89</v>
      </c>
      <c r="L28">
        <f>1.7/1.3</f>
        <v>1.307692308</v>
      </c>
      <c r="M28" s="33">
        <f>M27*L28*(556.8/509.7)*8.26876804</f>
        <v>7082062.453</v>
      </c>
      <c r="N28" s="31" t="s">
        <v>90</v>
      </c>
    </row>
    <row r="29">
      <c r="A29" s="17" t="s">
        <v>91</v>
      </c>
      <c r="C29" s="18" t="s">
        <v>3</v>
      </c>
      <c r="D29" s="19" t="s">
        <v>4</v>
      </c>
      <c r="E29" s="19" t="s">
        <v>5</v>
      </c>
      <c r="F29" s="19" t="s">
        <v>6</v>
      </c>
      <c r="G29" s="19" t="s">
        <v>7</v>
      </c>
      <c r="H29" s="19" t="s">
        <v>8</v>
      </c>
      <c r="I29" s="19" t="s">
        <v>9</v>
      </c>
      <c r="J29" s="19" t="s">
        <v>10</v>
      </c>
      <c r="K29" s="19" t="s">
        <v>11</v>
      </c>
      <c r="L29" s="19" t="s">
        <v>12</v>
      </c>
      <c r="M29" s="19" t="s">
        <v>13</v>
      </c>
      <c r="N29" s="19" t="s">
        <v>14</v>
      </c>
      <c r="O29" s="19" t="s">
        <v>15</v>
      </c>
      <c r="P29" s="19" t="s">
        <v>16</v>
      </c>
      <c r="Q29" s="19" t="s">
        <v>17</v>
      </c>
      <c r="R29" s="19" t="s">
        <v>18</v>
      </c>
      <c r="S29" s="19" t="s">
        <v>19</v>
      </c>
      <c r="T29" s="19" t="s">
        <v>20</v>
      </c>
      <c r="U29" s="19" t="s">
        <v>21</v>
      </c>
      <c r="V29" s="19" t="s">
        <v>22</v>
      </c>
      <c r="W29" s="35" t="s">
        <v>23</v>
      </c>
      <c r="X29" s="19"/>
      <c r="Y29" s="36"/>
      <c r="Z29" s="5" t="s">
        <v>25</v>
      </c>
    </row>
    <row r="30">
      <c r="A30" s="11" t="s">
        <v>92</v>
      </c>
      <c r="C30" s="5">
        <v>400.0</v>
      </c>
      <c r="D30" s="5">
        <v>400.0</v>
      </c>
      <c r="E30" s="5">
        <v>400.0</v>
      </c>
      <c r="F30" s="5">
        <v>400.0</v>
      </c>
      <c r="G30" s="5">
        <v>400.0</v>
      </c>
      <c r="H30" s="5">
        <v>400.0</v>
      </c>
      <c r="I30" s="5">
        <v>400.0</v>
      </c>
      <c r="J30" s="5">
        <v>400.0</v>
      </c>
      <c r="K30" s="5">
        <v>400.0</v>
      </c>
      <c r="L30" s="5">
        <v>400.0</v>
      </c>
      <c r="M30" s="5">
        <v>400.0</v>
      </c>
      <c r="N30" s="5">
        <v>400.0</v>
      </c>
      <c r="O30" s="5">
        <v>400.0</v>
      </c>
      <c r="P30" s="5">
        <v>400.0</v>
      </c>
      <c r="Q30" s="5">
        <v>400.0</v>
      </c>
      <c r="R30" s="5">
        <v>400.0</v>
      </c>
      <c r="S30" s="5">
        <v>400.0</v>
      </c>
      <c r="T30" s="5">
        <v>400.0</v>
      </c>
      <c r="U30" s="5">
        <v>400.0</v>
      </c>
      <c r="V30" s="5">
        <v>400.0</v>
      </c>
      <c r="W30" s="5">
        <v>400.0</v>
      </c>
      <c r="X30" s="5"/>
      <c r="Y30" s="5"/>
      <c r="AA30" s="5" t="s">
        <v>93</v>
      </c>
    </row>
    <row r="31">
      <c r="A31" s="5" t="s">
        <v>94</v>
      </c>
      <c r="C31">
        <f t="shared" ref="C31:W31" si="10">-C6*1000/(C5)</f>
        <v>1153540.69</v>
      </c>
      <c r="D31">
        <f t="shared" si="10"/>
        <v>467273.8036</v>
      </c>
      <c r="E31">
        <f t="shared" si="10"/>
        <v>531959.3314</v>
      </c>
      <c r="F31">
        <f t="shared" si="10"/>
        <v>5787356.358</v>
      </c>
      <c r="G31">
        <f t="shared" si="10"/>
        <v>10471945.16</v>
      </c>
      <c r="H31">
        <f t="shared" si="10"/>
        <v>-45048752.39</v>
      </c>
      <c r="I31">
        <f t="shared" si="10"/>
        <v>-6724578.867</v>
      </c>
      <c r="J31">
        <f t="shared" si="10"/>
        <v>-10627810.39</v>
      </c>
      <c r="K31">
        <f t="shared" si="10"/>
        <v>-7075510.539</v>
      </c>
      <c r="L31">
        <f t="shared" si="10"/>
        <v>-47567073.78</v>
      </c>
      <c r="M31">
        <f t="shared" si="10"/>
        <v>7661015.192</v>
      </c>
      <c r="N31">
        <f t="shared" si="10"/>
        <v>5999632.325</v>
      </c>
      <c r="O31">
        <f t="shared" si="10"/>
        <v>-4446457.858</v>
      </c>
      <c r="P31">
        <f t="shared" si="10"/>
        <v>-7661000.172</v>
      </c>
      <c r="Q31">
        <f t="shared" si="10"/>
        <v>-3086098.153</v>
      </c>
      <c r="R31">
        <f t="shared" si="10"/>
        <v>-3066751.786</v>
      </c>
      <c r="S31">
        <f t="shared" si="10"/>
        <v>-3160632.167</v>
      </c>
      <c r="T31">
        <f t="shared" si="10"/>
        <v>-3212035.347</v>
      </c>
      <c r="U31">
        <f t="shared" si="10"/>
        <v>-3294444.444</v>
      </c>
      <c r="V31">
        <f t="shared" si="10"/>
        <v>11107939.75</v>
      </c>
      <c r="W31">
        <f t="shared" si="10"/>
        <v>-29883261.69</v>
      </c>
    </row>
    <row r="32">
      <c r="A32" s="5" t="s">
        <v>95</v>
      </c>
      <c r="C32">
        <f t="shared" ref="C32:W32" si="11">(C4-C3)/2</f>
        <v>38.19664669</v>
      </c>
      <c r="D32">
        <f t="shared" si="11"/>
        <v>14.49641036</v>
      </c>
      <c r="E32">
        <f t="shared" si="11"/>
        <v>16.88715778</v>
      </c>
      <c r="F32">
        <f t="shared" si="11"/>
        <v>44.20635309</v>
      </c>
      <c r="G32">
        <f t="shared" si="11"/>
        <v>76.53707221</v>
      </c>
      <c r="H32">
        <f t="shared" si="11"/>
        <v>-240.8321424</v>
      </c>
      <c r="I32">
        <f t="shared" si="11"/>
        <v>-38.0183288</v>
      </c>
      <c r="J32">
        <f t="shared" si="11"/>
        <v>-59.690185</v>
      </c>
      <c r="K32">
        <f t="shared" si="11"/>
        <v>-40.49785469</v>
      </c>
      <c r="L32">
        <f t="shared" si="11"/>
        <v>-90.44903297</v>
      </c>
      <c r="M32">
        <f t="shared" si="11"/>
        <v>86.90160027</v>
      </c>
      <c r="N32">
        <f t="shared" si="11"/>
        <v>67.0000812</v>
      </c>
      <c r="O32">
        <f t="shared" si="11"/>
        <v>-49.62185155</v>
      </c>
      <c r="P32">
        <f t="shared" si="11"/>
        <v>-87.0013319</v>
      </c>
      <c r="Q32">
        <f t="shared" si="11"/>
        <v>-29.50300441</v>
      </c>
      <c r="R32">
        <f t="shared" si="11"/>
        <v>-35.06539657</v>
      </c>
      <c r="S32">
        <f t="shared" si="11"/>
        <v>-35.85677175</v>
      </c>
      <c r="T32">
        <f t="shared" si="11"/>
        <v>-35.93146902</v>
      </c>
      <c r="U32">
        <f t="shared" si="11"/>
        <v>-36.07</v>
      </c>
      <c r="V32">
        <f t="shared" si="11"/>
        <v>82.60529434</v>
      </c>
      <c r="W32">
        <f t="shared" si="11"/>
        <v>-147.5393507</v>
      </c>
    </row>
    <row r="33">
      <c r="A33" s="11" t="s">
        <v>96</v>
      </c>
      <c r="C33" s="2">
        <f t="shared" ref="C33:W33" si="12">C31/(C30*C32)</f>
        <v>75.50012828</v>
      </c>
      <c r="D33" s="2">
        <f t="shared" si="12"/>
        <v>80.58439848</v>
      </c>
      <c r="E33" s="2">
        <f t="shared" si="12"/>
        <v>78.75205206</v>
      </c>
      <c r="F33" s="2">
        <f t="shared" si="12"/>
        <v>327.2921172</v>
      </c>
      <c r="G33" s="2">
        <f t="shared" si="12"/>
        <v>342.0546691</v>
      </c>
      <c r="H33" s="2">
        <f t="shared" si="12"/>
        <v>467.6364203</v>
      </c>
      <c r="I33" s="2">
        <f t="shared" si="12"/>
        <v>442.1932184</v>
      </c>
      <c r="J33" s="2">
        <f t="shared" si="12"/>
        <v>445.1238669</v>
      </c>
      <c r="K33" s="2">
        <f t="shared" si="12"/>
        <v>436.7830465</v>
      </c>
      <c r="L33" s="2">
        <f t="shared" si="12"/>
        <v>1314.747992</v>
      </c>
      <c r="M33" s="2">
        <f t="shared" si="12"/>
        <v>220.3933865</v>
      </c>
      <c r="N33" s="2">
        <f t="shared" si="12"/>
        <v>223.8666065</v>
      </c>
      <c r="O33" s="2">
        <f t="shared" si="12"/>
        <v>224.0171275</v>
      </c>
      <c r="P33" s="2">
        <f t="shared" si="12"/>
        <v>220.1403129</v>
      </c>
      <c r="Q33" s="2">
        <f t="shared" si="12"/>
        <v>261.5071087</v>
      </c>
      <c r="R33" s="2">
        <f t="shared" si="12"/>
        <v>218.6451663</v>
      </c>
      <c r="S33" s="2">
        <f t="shared" si="12"/>
        <v>220.3650812</v>
      </c>
      <c r="T33" s="2">
        <f t="shared" si="12"/>
        <v>223.4834419</v>
      </c>
      <c r="U33" s="2">
        <f t="shared" si="12"/>
        <v>228.3368758</v>
      </c>
      <c r="V33" s="2">
        <f t="shared" si="12"/>
        <v>336.1751761</v>
      </c>
      <c r="W33" s="2">
        <f t="shared" si="12"/>
        <v>506.3608718</v>
      </c>
      <c r="X33" s="2"/>
      <c r="Y33" s="2"/>
    </row>
    <row r="34">
      <c r="A34" s="2" t="s">
        <v>48</v>
      </c>
      <c r="B34" s="2">
        <v>24000.0</v>
      </c>
      <c r="K34" s="2"/>
    </row>
    <row r="35">
      <c r="A35" s="2" t="s">
        <v>51</v>
      </c>
      <c r="B35" s="2">
        <v>46.0</v>
      </c>
      <c r="D35">
        <f>(C3-C4)/ln((C3-278.16)/(C4-278.16))</f>
        <v>33.95192615</v>
      </c>
      <c r="K35" s="2"/>
    </row>
    <row r="36">
      <c r="A36" s="2" t="s">
        <v>54</v>
      </c>
      <c r="B36" s="2">
        <v>1.2</v>
      </c>
      <c r="K36" s="2"/>
    </row>
    <row r="37">
      <c r="A37" s="2" t="s">
        <v>56</v>
      </c>
      <c r="C37" s="2">
        <f t="shared" ref="C37:W37" si="13">$B$34+$B$35*(C33)^$B$36</f>
        <v>32246.98224</v>
      </c>
      <c r="D37" s="2">
        <f t="shared" si="13"/>
        <v>32917.82599</v>
      </c>
      <c r="E37" s="2">
        <f t="shared" si="13"/>
        <v>32675.052</v>
      </c>
      <c r="F37" s="2">
        <f t="shared" si="13"/>
        <v>71938.06349</v>
      </c>
      <c r="G37" s="2">
        <f t="shared" si="13"/>
        <v>74544.33177</v>
      </c>
      <c r="H37" s="2">
        <f t="shared" si="13"/>
        <v>97561.03389</v>
      </c>
      <c r="I37" s="2">
        <f t="shared" si="13"/>
        <v>92784.77564</v>
      </c>
      <c r="J37" s="2">
        <f t="shared" si="13"/>
        <v>93332.18531</v>
      </c>
      <c r="K37" s="2">
        <f t="shared" si="13"/>
        <v>91776.1288</v>
      </c>
      <c r="L37" s="2">
        <f t="shared" si="13"/>
        <v>278313.1698</v>
      </c>
      <c r="M37" s="2">
        <f t="shared" si="13"/>
        <v>53826.07473</v>
      </c>
      <c r="N37" s="2">
        <f t="shared" si="13"/>
        <v>54391.00142</v>
      </c>
      <c r="O37" s="2">
        <f t="shared" si="13"/>
        <v>54415.52384</v>
      </c>
      <c r="P37" s="2">
        <f t="shared" si="13"/>
        <v>53784.98098</v>
      </c>
      <c r="Q37" s="2">
        <f t="shared" si="13"/>
        <v>60621.66037</v>
      </c>
      <c r="R37" s="2">
        <f t="shared" si="13"/>
        <v>53542.39417</v>
      </c>
      <c r="S37" s="2">
        <f t="shared" si="13"/>
        <v>53821.47807</v>
      </c>
      <c r="T37" s="2">
        <f t="shared" si="13"/>
        <v>54328.59232</v>
      </c>
      <c r="U37" s="2">
        <f t="shared" si="13"/>
        <v>55120.68138</v>
      </c>
      <c r="V37" s="2">
        <f t="shared" si="13"/>
        <v>73503.57927</v>
      </c>
      <c r="W37" s="2">
        <f t="shared" si="13"/>
        <v>104930.0854</v>
      </c>
      <c r="X37" s="2"/>
      <c r="Y37" s="2"/>
      <c r="Z37">
        <f>sum(C37:Y37)</f>
        <v>1570375.601</v>
      </c>
    </row>
    <row r="38">
      <c r="A38" s="23" t="s">
        <v>97</v>
      </c>
      <c r="B38" s="24">
        <f>Z37*B39*(556.8/509.7)*8.26876804</f>
        <v>18440483.05</v>
      </c>
      <c r="K38" s="2"/>
    </row>
    <row r="39">
      <c r="A39" s="37" t="s">
        <v>58</v>
      </c>
      <c r="B39" s="5">
        <v>1.3</v>
      </c>
      <c r="K39" s="2"/>
    </row>
    <row r="40">
      <c r="A40" s="2"/>
      <c r="K40" s="2"/>
    </row>
    <row r="41">
      <c r="A41" s="2"/>
      <c r="K41" s="2"/>
    </row>
    <row r="42">
      <c r="A42" s="2"/>
      <c r="K42" s="2"/>
    </row>
    <row r="43">
      <c r="A43" s="2"/>
      <c r="K43" s="2"/>
    </row>
    <row r="44">
      <c r="A44" s="17" t="s">
        <v>98</v>
      </c>
      <c r="B44" s="2" t="s">
        <v>99</v>
      </c>
      <c r="C44" s="2" t="s">
        <v>100</v>
      </c>
      <c r="D44" s="2" t="s">
        <v>101</v>
      </c>
      <c r="E44" s="2" t="s">
        <v>102</v>
      </c>
      <c r="F44" s="2" t="s">
        <v>103</v>
      </c>
      <c r="G44" s="2" t="s">
        <v>104</v>
      </c>
      <c r="H44" s="5" t="s">
        <v>105</v>
      </c>
      <c r="I44" s="5" t="s">
        <v>106</v>
      </c>
      <c r="J44" s="5"/>
      <c r="K44" s="5"/>
    </row>
    <row r="45">
      <c r="A45" s="2" t="s">
        <v>107</v>
      </c>
      <c r="B45" s="11">
        <v>1000.0</v>
      </c>
      <c r="C45" s="38">
        <v>1016.0</v>
      </c>
      <c r="D45" s="5">
        <v>1016.0</v>
      </c>
      <c r="E45" s="5">
        <v>1017.0</v>
      </c>
      <c r="F45" s="5">
        <v>1018.0</v>
      </c>
      <c r="G45" s="5">
        <v>1021.0</v>
      </c>
      <c r="H45" s="5">
        <v>608.3</v>
      </c>
      <c r="I45" s="5">
        <v>642.9</v>
      </c>
      <c r="J45" s="5"/>
      <c r="K45" s="5"/>
    </row>
    <row r="46">
      <c r="A46" s="2" t="s">
        <v>108</v>
      </c>
      <c r="B46" s="11">
        <v>13.77</v>
      </c>
      <c r="C46" s="38">
        <v>8.004</v>
      </c>
      <c r="D46" s="5">
        <v>14.21</v>
      </c>
      <c r="E46" s="5">
        <v>25.15</v>
      </c>
      <c r="F46" s="5">
        <v>43.76</v>
      </c>
      <c r="G46" s="5">
        <v>73.96</v>
      </c>
      <c r="H46" s="5">
        <v>112.3</v>
      </c>
      <c r="I46" s="5">
        <v>3.904</v>
      </c>
      <c r="J46" s="5"/>
      <c r="K46" s="5"/>
    </row>
    <row r="47">
      <c r="A47" s="2" t="s">
        <v>109</v>
      </c>
      <c r="B47" s="2">
        <f t="shared" ref="B47:I47" si="14">0.07*((B45-B46)/B46)^0.5</f>
        <v>0.5924069903</v>
      </c>
      <c r="C47" s="39">
        <f t="shared" si="14"/>
        <v>0.7855501292</v>
      </c>
      <c r="D47" s="39">
        <f t="shared" si="14"/>
        <v>0.5877455466</v>
      </c>
      <c r="E47" s="39">
        <f t="shared" si="14"/>
        <v>0.4395942915</v>
      </c>
      <c r="F47" s="39">
        <f t="shared" si="14"/>
        <v>0.3302876703</v>
      </c>
      <c r="G47" s="39">
        <f t="shared" si="14"/>
        <v>0.2504861687</v>
      </c>
      <c r="H47" s="39">
        <f t="shared" si="14"/>
        <v>0.147112305</v>
      </c>
      <c r="I47" s="39">
        <f t="shared" si="14"/>
        <v>0.8955548811</v>
      </c>
      <c r="J47" s="39"/>
      <c r="K47" s="39"/>
    </row>
    <row r="48">
      <c r="A48" s="2" t="s">
        <v>110</v>
      </c>
      <c r="B48" s="2">
        <f>7218/(3600)</f>
        <v>2.005</v>
      </c>
      <c r="C48" s="27">
        <f>5848/3600</f>
        <v>1.624444444</v>
      </c>
      <c r="D48">
        <f>3292/3600</f>
        <v>0.9144444444</v>
      </c>
      <c r="E48">
        <f>1860/3600</f>
        <v>0.5166666667</v>
      </c>
      <c r="F48">
        <f>1068/3600</f>
        <v>0.2966666667</v>
      </c>
      <c r="G48">
        <f>632.1/3600</f>
        <v>0.1755833333</v>
      </c>
      <c r="H48">
        <f>251/3600</f>
        <v>0.06972222222</v>
      </c>
      <c r="I48">
        <f>1442/3600</f>
        <v>0.4005555556</v>
      </c>
      <c r="L48" s="5"/>
    </row>
    <row r="49">
      <c r="A49" s="2" t="s">
        <v>111</v>
      </c>
      <c r="B49" s="2">
        <f>(4*B48/(3.14*B47))^(0.5)</f>
        <v>2.076405989</v>
      </c>
      <c r="C49" s="39">
        <f t="shared" ref="C49:I49" si="15">(4*C48/(3.14*C47))^(0.5)</f>
        <v>1.623045336</v>
      </c>
      <c r="D49" s="39">
        <f t="shared" si="15"/>
        <v>1.407826581</v>
      </c>
      <c r="E49" s="39">
        <f t="shared" si="15"/>
        <v>1.223613814</v>
      </c>
      <c r="F49" s="39">
        <f t="shared" si="15"/>
        <v>1.069678746</v>
      </c>
      <c r="G49" s="39">
        <f t="shared" si="15"/>
        <v>0.9449632988</v>
      </c>
      <c r="H49" s="39">
        <f t="shared" si="15"/>
        <v>0.7770094163</v>
      </c>
      <c r="I49" s="39">
        <f t="shared" si="15"/>
        <v>0.7548322531</v>
      </c>
      <c r="J49" s="39"/>
      <c r="K49" s="39"/>
    </row>
    <row r="50">
      <c r="A50" s="2" t="s">
        <v>112</v>
      </c>
      <c r="B50" s="2">
        <f t="shared" ref="B50:I50" si="16">B49*3.2808399</f>
        <v>6.812355618</v>
      </c>
      <c r="C50" s="39">
        <f t="shared" si="16"/>
        <v>5.324951898</v>
      </c>
      <c r="D50" s="39">
        <f t="shared" si="16"/>
        <v>4.618853621</v>
      </c>
      <c r="E50" s="39">
        <f t="shared" si="16"/>
        <v>4.014481023</v>
      </c>
      <c r="F50" s="39">
        <f t="shared" si="16"/>
        <v>3.509444711</v>
      </c>
      <c r="G50" s="39">
        <f t="shared" si="16"/>
        <v>3.100273295</v>
      </c>
      <c r="H50" s="39">
        <f t="shared" si="16"/>
        <v>2.549243496</v>
      </c>
      <c r="I50" s="39">
        <f t="shared" si="16"/>
        <v>2.476483774</v>
      </c>
      <c r="J50" s="39"/>
      <c r="K50" s="39"/>
    </row>
    <row r="51">
      <c r="A51" s="2" t="s">
        <v>113</v>
      </c>
      <c r="B51" s="2">
        <f>7/3.2808399</f>
        <v>2.133599997</v>
      </c>
      <c r="C51" s="39">
        <f t="shared" ref="C51:D51" si="17">5/3.2808399</f>
        <v>1.523999998</v>
      </c>
      <c r="D51" s="39">
        <f t="shared" si="17"/>
        <v>1.523999998</v>
      </c>
      <c r="E51" s="39">
        <f t="shared" ref="E51:F51" si="18">4/3.2808399</f>
        <v>1.219199998</v>
      </c>
      <c r="F51" s="39">
        <f t="shared" si="18"/>
        <v>1.219199998</v>
      </c>
      <c r="G51" s="39">
        <f t="shared" ref="G51:H51" si="19">3/3.2808399</f>
        <v>0.9143999986</v>
      </c>
      <c r="H51" s="39">
        <f t="shared" si="19"/>
        <v>0.9143999986</v>
      </c>
      <c r="I51" s="39">
        <f>2/3.2808399</f>
        <v>0.6095999991</v>
      </c>
      <c r="J51" s="39"/>
      <c r="K51" s="39"/>
    </row>
    <row r="52">
      <c r="A52" s="11" t="s">
        <v>114</v>
      </c>
      <c r="B52" s="2">
        <f>48.58/(3600)</f>
        <v>0.01349444444</v>
      </c>
      <c r="C52" s="27">
        <f>0.7403/(3600)</f>
        <v>0.0002056388889</v>
      </c>
      <c r="D52" s="5">
        <f>2.629*10^-2/3600</f>
        <v>0.000007302777778</v>
      </c>
      <c r="E52">
        <f>1.7*10^-2/3600</f>
        <v>0.000004722222222</v>
      </c>
      <c r="F52">
        <f>(8.763*10^-3)/3600</f>
        <v>0.000002434166667</v>
      </c>
      <c r="G52">
        <f>(3.726*10^-3)/3600</f>
        <v>0.000001035</v>
      </c>
      <c r="H52">
        <f>79.09/3600</f>
        <v>0.02196944444</v>
      </c>
      <c r="I52">
        <f>66.08/3600</f>
        <v>0.01835555556</v>
      </c>
      <c r="L52" s="5"/>
    </row>
    <row r="53">
      <c r="A53" s="2" t="s">
        <v>115</v>
      </c>
      <c r="B53" s="2">
        <v>600.0</v>
      </c>
      <c r="C53" s="39">
        <v>600.0</v>
      </c>
      <c r="D53" s="39">
        <v>600.0</v>
      </c>
      <c r="E53" s="39">
        <v>600.0</v>
      </c>
      <c r="F53" s="39">
        <v>600.0</v>
      </c>
      <c r="G53" s="39">
        <v>600.0</v>
      </c>
      <c r="H53" s="39">
        <v>600.0</v>
      </c>
      <c r="I53" s="39">
        <v>600.0</v>
      </c>
      <c r="J53" s="39"/>
      <c r="K53" s="39"/>
    </row>
    <row r="54">
      <c r="A54" s="2" t="s">
        <v>116</v>
      </c>
      <c r="B54" s="2">
        <f t="shared" ref="B54:I54" si="20">B52*B53</f>
        <v>8.096666667</v>
      </c>
      <c r="C54" s="39">
        <f t="shared" si="20"/>
        <v>0.1233833333</v>
      </c>
      <c r="D54" s="39">
        <f t="shared" si="20"/>
        <v>0.004381666667</v>
      </c>
      <c r="E54" s="39">
        <f t="shared" si="20"/>
        <v>0.002833333333</v>
      </c>
      <c r="F54" s="39">
        <f t="shared" si="20"/>
        <v>0.0014605</v>
      </c>
      <c r="G54" s="39">
        <f t="shared" si="20"/>
        <v>0.000621</v>
      </c>
      <c r="H54" s="39">
        <f t="shared" si="20"/>
        <v>13.18166667</v>
      </c>
      <c r="I54" s="39">
        <f t="shared" si="20"/>
        <v>11.01333333</v>
      </c>
      <c r="J54" s="39"/>
      <c r="K54" s="39"/>
    </row>
    <row r="55">
      <c r="A55" s="2" t="s">
        <v>117</v>
      </c>
      <c r="B55" s="2">
        <f>B54/(3.14*((B51^2)))*4</f>
        <v>2.265742752</v>
      </c>
      <c r="C55" s="39">
        <f t="shared" ref="C55:I55" si="21">C54/(3.14*((C51^2)))*4</f>
        <v>0.06767323062</v>
      </c>
      <c r="D55" s="39">
        <f t="shared" si="21"/>
        <v>0.002403254401</v>
      </c>
      <c r="E55" s="39">
        <f t="shared" si="21"/>
        <v>0.002428164512</v>
      </c>
      <c r="F55" s="39">
        <f t="shared" si="21"/>
        <v>0.001251647389</v>
      </c>
      <c r="G55" s="39">
        <f t="shared" si="21"/>
        <v>0.0009461271605</v>
      </c>
      <c r="H55" s="39">
        <f t="shared" si="21"/>
        <v>20.08298366</v>
      </c>
      <c r="I55" s="39">
        <f t="shared" si="21"/>
        <v>37.75367317</v>
      </c>
      <c r="J55" s="39"/>
      <c r="K55" s="39"/>
    </row>
    <row r="56">
      <c r="A56" s="11" t="s">
        <v>118</v>
      </c>
      <c r="B56" s="2">
        <f>B51/2+B51+0.4+B55</f>
        <v>5.866142747</v>
      </c>
      <c r="C56" s="39">
        <f t="shared" ref="C56:I56" si="22">C51/2+C51+0.4+C55</f>
        <v>2.753673227</v>
      </c>
      <c r="D56" s="39">
        <f t="shared" si="22"/>
        <v>2.688403251</v>
      </c>
      <c r="E56" s="39">
        <f t="shared" si="22"/>
        <v>2.231228162</v>
      </c>
      <c r="F56" s="39">
        <f t="shared" si="22"/>
        <v>2.230051645</v>
      </c>
      <c r="G56" s="39">
        <f t="shared" si="22"/>
        <v>1.772546125</v>
      </c>
      <c r="H56" s="39">
        <f t="shared" si="22"/>
        <v>21.85458366</v>
      </c>
      <c r="I56" s="39">
        <f t="shared" si="22"/>
        <v>39.06807317</v>
      </c>
      <c r="J56" s="39"/>
      <c r="K56" s="39"/>
    </row>
    <row r="57">
      <c r="A57" s="8" t="s">
        <v>119</v>
      </c>
      <c r="B57" s="8">
        <f>23.85*10^5</f>
        <v>2385000</v>
      </c>
      <c r="C57" s="39">
        <f>22.16*10^5</f>
        <v>2216000</v>
      </c>
      <c r="D57" s="39">
        <f t="shared" ref="D57:E57" si="23">72.11*10^5</f>
        <v>7211000</v>
      </c>
      <c r="E57" s="39">
        <f t="shared" si="23"/>
        <v>7211000</v>
      </c>
      <c r="F57" s="5">
        <f>130.2*10^5</f>
        <v>13020000</v>
      </c>
      <c r="G57" s="5">
        <f>235*10^5</f>
        <v>23500000</v>
      </c>
      <c r="H57" s="5">
        <f>225*10^5</f>
        <v>22500000</v>
      </c>
      <c r="I57" s="5">
        <f>500000</f>
        <v>500000</v>
      </c>
      <c r="J57" s="5"/>
      <c r="K57" s="5"/>
    </row>
    <row r="58">
      <c r="A58" s="8" t="s">
        <v>120</v>
      </c>
      <c r="B58" s="8">
        <f t="shared" ref="B58:I58" si="24">B57*1.1</f>
        <v>2623500</v>
      </c>
      <c r="C58" s="8">
        <f t="shared" si="24"/>
        <v>2437600</v>
      </c>
      <c r="D58" s="8">
        <f t="shared" si="24"/>
        <v>7932100</v>
      </c>
      <c r="E58" s="8">
        <f t="shared" si="24"/>
        <v>7932100</v>
      </c>
      <c r="F58" s="8">
        <f t="shared" si="24"/>
        <v>14322000</v>
      </c>
      <c r="G58" s="8">
        <f t="shared" si="24"/>
        <v>25850000</v>
      </c>
      <c r="H58" s="8">
        <f t="shared" si="24"/>
        <v>24750000</v>
      </c>
      <c r="I58" s="8">
        <f t="shared" si="24"/>
        <v>550000</v>
      </c>
      <c r="J58" s="8"/>
      <c r="K58" s="8"/>
    </row>
    <row r="59">
      <c r="A59" s="11" t="s">
        <v>121</v>
      </c>
      <c r="B59" s="8">
        <f>89*(10^6)*1</f>
        <v>89000000</v>
      </c>
      <c r="C59" s="39">
        <f t="shared" ref="C59:I59" si="25">89*(10^6)*1</f>
        <v>89000000</v>
      </c>
      <c r="D59" s="39">
        <f t="shared" si="25"/>
        <v>89000000</v>
      </c>
      <c r="E59" s="39">
        <f t="shared" si="25"/>
        <v>89000000</v>
      </c>
      <c r="F59" s="39">
        <f t="shared" si="25"/>
        <v>89000000</v>
      </c>
      <c r="G59" s="39">
        <f t="shared" si="25"/>
        <v>89000000</v>
      </c>
      <c r="H59" s="39">
        <f t="shared" si="25"/>
        <v>89000000</v>
      </c>
      <c r="I59" s="39">
        <f t="shared" si="25"/>
        <v>89000000</v>
      </c>
      <c r="J59" s="39"/>
      <c r="K59" s="39"/>
    </row>
    <row r="60">
      <c r="A60" s="40" t="s">
        <v>122</v>
      </c>
      <c r="B60" s="8">
        <f>B58*B51/((2*B59)-(1.2*B58))</f>
        <v>0.03201282224</v>
      </c>
      <c r="C60" s="39">
        <f t="shared" ref="C60:I60" si="26">C58*C51/((2*C59)-(1.2*C58))</f>
        <v>0.0212189344</v>
      </c>
      <c r="D60" s="39">
        <f t="shared" si="26"/>
        <v>0.07174984682</v>
      </c>
      <c r="E60" s="39">
        <f t="shared" si="26"/>
        <v>0.05739987745</v>
      </c>
      <c r="F60" s="39">
        <f t="shared" si="26"/>
        <v>0.1085815029</v>
      </c>
      <c r="G60" s="39">
        <f t="shared" si="26"/>
        <v>0.160819431</v>
      </c>
      <c r="H60" s="39">
        <f t="shared" si="26"/>
        <v>0.1526055291</v>
      </c>
      <c r="I60" s="39">
        <f t="shared" si="26"/>
        <v>0.001890605613</v>
      </c>
      <c r="J60" s="39"/>
      <c r="K60" s="39"/>
    </row>
    <row r="61">
      <c r="A61" s="40" t="s">
        <v>123</v>
      </c>
      <c r="B61" s="40">
        <v>8030.0</v>
      </c>
      <c r="C61" s="40">
        <v>8030.0</v>
      </c>
      <c r="D61" s="40">
        <v>8030.0</v>
      </c>
      <c r="E61" s="40">
        <v>8030.0</v>
      </c>
      <c r="F61" s="40">
        <v>8030.0</v>
      </c>
      <c r="G61" s="40">
        <v>8030.0</v>
      </c>
      <c r="H61" s="40">
        <v>8030.0</v>
      </c>
      <c r="I61" s="40">
        <v>8030.0</v>
      </c>
      <c r="J61" s="40"/>
      <c r="K61" s="40"/>
    </row>
    <row r="62">
      <c r="A62" s="40" t="s">
        <v>124</v>
      </c>
      <c r="B62" s="8">
        <f t="shared" ref="B62:I62" si="27">3.14*B51*B56*B60*$B61</f>
        <v>10102.63786</v>
      </c>
      <c r="C62" s="8">
        <f t="shared" si="27"/>
        <v>2245.257377</v>
      </c>
      <c r="D62" s="8">
        <f t="shared" si="27"/>
        <v>7412.173045</v>
      </c>
      <c r="E62" s="8">
        <f t="shared" si="27"/>
        <v>3937.087752</v>
      </c>
      <c r="F62" s="8">
        <f t="shared" si="27"/>
        <v>7443.73521</v>
      </c>
      <c r="G62" s="8">
        <f t="shared" si="27"/>
        <v>6572.301473</v>
      </c>
      <c r="H62" s="8">
        <f t="shared" si="27"/>
        <v>76894.31217</v>
      </c>
      <c r="I62" s="8">
        <f t="shared" si="27"/>
        <v>1135.306401</v>
      </c>
      <c r="J62" s="8"/>
      <c r="K62" s="8"/>
    </row>
    <row r="63">
      <c r="A63" s="8" t="s">
        <v>48</v>
      </c>
      <c r="B63" s="8">
        <v>15000.0</v>
      </c>
    </row>
    <row r="64">
      <c r="A64" s="8" t="s">
        <v>51</v>
      </c>
      <c r="B64" s="2">
        <v>68.0</v>
      </c>
    </row>
    <row r="65">
      <c r="A65" s="8" t="s">
        <v>54</v>
      </c>
      <c r="B65" s="8">
        <v>0.85</v>
      </c>
    </row>
    <row r="66">
      <c r="A66" s="8" t="s">
        <v>125</v>
      </c>
      <c r="B66" s="2">
        <f t="shared" ref="B66:I66" si="28">$B63+$B64*(B62)^
$B$65</f>
        <v>187297.3033</v>
      </c>
      <c r="C66" s="2">
        <f t="shared" si="28"/>
        <v>62982.74892</v>
      </c>
      <c r="D66" s="2">
        <f t="shared" si="28"/>
        <v>147422.7584</v>
      </c>
      <c r="E66" s="2">
        <f t="shared" si="28"/>
        <v>92340.63673</v>
      </c>
      <c r="F66" s="2">
        <f t="shared" si="28"/>
        <v>147901.9005</v>
      </c>
      <c r="G66" s="2">
        <f t="shared" si="28"/>
        <v>134555.2818</v>
      </c>
      <c r="H66" s="2">
        <f t="shared" si="28"/>
        <v>982206.0327</v>
      </c>
      <c r="I66" s="2">
        <f t="shared" si="28"/>
        <v>41875.40615</v>
      </c>
      <c r="J66" s="2"/>
      <c r="K66" s="2"/>
    </row>
    <row r="67">
      <c r="A67" s="41" t="s">
        <v>57</v>
      </c>
      <c r="B67" s="24">
        <f>SUM(B66:I66)*(556.8/509.7)*8.26876804</f>
        <v>16228278.9</v>
      </c>
      <c r="K67" s="2"/>
    </row>
    <row r="68">
      <c r="A68" s="37"/>
      <c r="B68" s="5"/>
      <c r="K68" s="2"/>
    </row>
    <row r="69">
      <c r="A69" s="2"/>
      <c r="K69" s="2"/>
    </row>
    <row r="70">
      <c r="A70" s="2"/>
      <c r="K70" s="2"/>
    </row>
    <row r="71">
      <c r="A71" s="18" t="s">
        <v>126</v>
      </c>
      <c r="B71" s="19"/>
      <c r="C71" s="19" t="s">
        <v>127</v>
      </c>
      <c r="D71" s="19" t="s">
        <v>128</v>
      </c>
      <c r="E71" s="19" t="s">
        <v>129</v>
      </c>
      <c r="F71" s="36" t="s">
        <v>130</v>
      </c>
      <c r="G71" s="5" t="s">
        <v>25</v>
      </c>
      <c r="K71" s="2"/>
      <c r="L71" s="26"/>
      <c r="M71" s="26"/>
      <c r="N71" s="26"/>
      <c r="O71" s="26"/>
    </row>
    <row r="72">
      <c r="A72" s="2" t="s">
        <v>131</v>
      </c>
      <c r="J72" s="27"/>
      <c r="K72" s="2"/>
      <c r="L72" s="42" t="s">
        <v>132</v>
      </c>
      <c r="M72" s="43"/>
      <c r="N72" s="26"/>
      <c r="O72" s="26"/>
    </row>
    <row r="73">
      <c r="A73" s="2" t="s">
        <v>133</v>
      </c>
      <c r="C73" s="11">
        <v>1.5</v>
      </c>
      <c r="D73" s="11">
        <v>1.5</v>
      </c>
      <c r="E73" s="11">
        <v>1.5</v>
      </c>
      <c r="F73" s="11">
        <v>1.5</v>
      </c>
      <c r="K73" s="2"/>
      <c r="L73" s="44" t="s">
        <v>134</v>
      </c>
      <c r="M73" s="26"/>
      <c r="N73" s="45">
        <v>4363.0</v>
      </c>
      <c r="O73" s="26"/>
    </row>
    <row r="74">
      <c r="A74" s="2" t="s">
        <v>48</v>
      </c>
      <c r="B74" s="2">
        <v>110.0</v>
      </c>
      <c r="K74" s="2"/>
      <c r="L74" s="26" t="s">
        <v>135</v>
      </c>
      <c r="M74" s="26"/>
      <c r="N74" s="45">
        <v>18.0</v>
      </c>
      <c r="O74" s="26"/>
    </row>
    <row r="75">
      <c r="A75" s="2" t="s">
        <v>51</v>
      </c>
      <c r="B75" s="2">
        <v>380.0</v>
      </c>
      <c r="K75" s="2"/>
      <c r="L75" s="44" t="s">
        <v>136</v>
      </c>
      <c r="M75" s="26"/>
      <c r="N75" s="27">
        <f>(N73*N74)/1000</f>
        <v>78.534</v>
      </c>
      <c r="O75" s="26"/>
    </row>
    <row r="76">
      <c r="A76" s="2" t="s">
        <v>54</v>
      </c>
      <c r="B76" s="2">
        <v>1.8</v>
      </c>
      <c r="K76" s="2"/>
      <c r="L76" s="44" t="s">
        <v>137</v>
      </c>
      <c r="M76" s="26"/>
      <c r="N76" s="45">
        <f>8.76</f>
        <v>8.76</v>
      </c>
      <c r="O76" s="26"/>
    </row>
    <row r="77">
      <c r="A77" s="17" t="s">
        <v>138</v>
      </c>
      <c r="B77" s="8"/>
      <c r="C77" s="8">
        <f t="shared" ref="C77:F77" si="29">$B$74+$B$75*(C73)^$B$76</f>
        <v>898.4022643</v>
      </c>
      <c r="D77" s="8">
        <f t="shared" si="29"/>
        <v>898.4022643</v>
      </c>
      <c r="E77" s="8">
        <f t="shared" si="29"/>
        <v>898.4022643</v>
      </c>
      <c r="F77" s="8">
        <f t="shared" si="29"/>
        <v>898.4022643</v>
      </c>
      <c r="G77">
        <f>sum(C77:F77)</f>
        <v>3593.609057</v>
      </c>
      <c r="K77" s="2"/>
      <c r="L77" s="26" t="s">
        <v>139</v>
      </c>
      <c r="M77" s="26"/>
      <c r="N77" s="27">
        <v>10.4598283</v>
      </c>
      <c r="O77" s="26"/>
    </row>
    <row r="78">
      <c r="A78" s="37"/>
      <c r="B78" s="40"/>
      <c r="C78" s="40"/>
      <c r="D78" s="8"/>
      <c r="K78" s="2"/>
      <c r="L78" s="46" t="s">
        <v>140</v>
      </c>
      <c r="M78" s="47"/>
      <c r="N78" s="48">
        <f>N75*N76*N77</f>
        <v>7195.920884</v>
      </c>
    </row>
    <row r="79">
      <c r="A79" s="49" t="s">
        <v>120</v>
      </c>
      <c r="C79">
        <f t="shared" ref="C79:F79" si="30">1.1*2365000</f>
        <v>2601500</v>
      </c>
      <c r="D79">
        <f t="shared" si="30"/>
        <v>2601500</v>
      </c>
      <c r="E79">
        <f t="shared" si="30"/>
        <v>2601500</v>
      </c>
      <c r="F79">
        <f t="shared" si="30"/>
        <v>2601500</v>
      </c>
      <c r="K79" s="2"/>
    </row>
    <row r="80">
      <c r="A80" s="49" t="s">
        <v>141</v>
      </c>
      <c r="C80">
        <f t="shared" ref="C80:F80" si="31">C79*C73/((2*B59)-(1.2*C79))</f>
        <v>0.02231410204</v>
      </c>
      <c r="D80">
        <f t="shared" si="31"/>
        <v>0.02231410204</v>
      </c>
      <c r="E80">
        <f t="shared" si="31"/>
        <v>0.02231410204</v>
      </c>
      <c r="F80">
        <f t="shared" si="31"/>
        <v>0.02231410204</v>
      </c>
      <c r="K80" s="2"/>
    </row>
    <row r="81">
      <c r="A81" s="5" t="s">
        <v>142</v>
      </c>
      <c r="C81">
        <f t="shared" ref="C81:F81" si="32">(3.15*(C73^2)/4)*C82</f>
        <v>16.8328125</v>
      </c>
      <c r="D81">
        <f t="shared" si="32"/>
        <v>16.8328125</v>
      </c>
      <c r="E81">
        <f t="shared" si="32"/>
        <v>16.8328125</v>
      </c>
      <c r="F81">
        <f t="shared" si="32"/>
        <v>16.8328125</v>
      </c>
      <c r="K81" s="2"/>
    </row>
    <row r="82">
      <c r="A82" s="5" t="s">
        <v>143</v>
      </c>
      <c r="C82" s="5">
        <f t="shared" ref="C82:F82" si="33">15*0.5+2</f>
        <v>9.5</v>
      </c>
      <c r="D82" s="5">
        <f t="shared" si="33"/>
        <v>9.5</v>
      </c>
      <c r="E82" s="5">
        <f t="shared" si="33"/>
        <v>9.5</v>
      </c>
      <c r="F82" s="5">
        <f t="shared" si="33"/>
        <v>9.5</v>
      </c>
      <c r="G82" s="5" t="s">
        <v>144</v>
      </c>
      <c r="K82" s="2"/>
    </row>
    <row r="83">
      <c r="A83" s="5" t="s">
        <v>145</v>
      </c>
      <c r="C83">
        <f t="shared" ref="C83:F83" si="34">C81-((3.14*((C73-C80*2)^2)/4)*C82)</f>
        <v>1.037029068</v>
      </c>
      <c r="D83">
        <f t="shared" si="34"/>
        <v>1.037029068</v>
      </c>
      <c r="E83">
        <f t="shared" si="34"/>
        <v>1.037029068</v>
      </c>
      <c r="F83">
        <f t="shared" si="34"/>
        <v>1.037029068</v>
      </c>
      <c r="K83" s="2"/>
    </row>
    <row r="84">
      <c r="A84" s="5" t="s">
        <v>146</v>
      </c>
      <c r="C84">
        <f t="shared" ref="C84:F84" si="35">(3.14*(C73^2)/4)*C80*2</f>
        <v>0.07882456547</v>
      </c>
      <c r="D84">
        <f t="shared" si="35"/>
        <v>0.07882456547</v>
      </c>
      <c r="E84">
        <f t="shared" si="35"/>
        <v>0.07882456547</v>
      </c>
      <c r="F84">
        <f t="shared" si="35"/>
        <v>0.07882456547</v>
      </c>
      <c r="K84" s="2"/>
    </row>
    <row r="85">
      <c r="A85" s="5" t="s">
        <v>147</v>
      </c>
      <c r="C85">
        <f t="shared" ref="C85:F85" si="36">C84+C83</f>
        <v>1.115853633</v>
      </c>
      <c r="D85">
        <f t="shared" si="36"/>
        <v>1.115853633</v>
      </c>
      <c r="E85">
        <f t="shared" si="36"/>
        <v>1.115853633</v>
      </c>
      <c r="F85">
        <f t="shared" si="36"/>
        <v>1.115853633</v>
      </c>
      <c r="K85" s="2"/>
    </row>
    <row r="86">
      <c r="A86" s="5" t="s">
        <v>148</v>
      </c>
      <c r="C86">
        <f t="shared" ref="C86:F86" si="37">8.03*1000</f>
        <v>8030</v>
      </c>
      <c r="D86">
        <f t="shared" si="37"/>
        <v>8030</v>
      </c>
      <c r="E86">
        <f t="shared" si="37"/>
        <v>8030</v>
      </c>
      <c r="F86">
        <f t="shared" si="37"/>
        <v>8030</v>
      </c>
      <c r="K86" s="2"/>
    </row>
    <row r="87">
      <c r="A87" s="8" t="s">
        <v>149</v>
      </c>
      <c r="B87" s="8"/>
      <c r="C87" s="8">
        <f t="shared" ref="C87:F87" si="38">C86*C85</f>
        <v>8960.304674</v>
      </c>
      <c r="D87" s="8">
        <f t="shared" si="38"/>
        <v>8960.304674</v>
      </c>
      <c r="E87" s="8">
        <f t="shared" si="38"/>
        <v>8960.304674</v>
      </c>
      <c r="F87" s="8">
        <f t="shared" si="38"/>
        <v>8960.304674</v>
      </c>
      <c r="K87" s="2"/>
    </row>
    <row r="88">
      <c r="A88" s="8" t="s">
        <v>48</v>
      </c>
      <c r="B88" s="8">
        <v>15000.0</v>
      </c>
      <c r="C88" s="8"/>
      <c r="D88" s="8"/>
      <c r="K88" s="2"/>
    </row>
    <row r="89">
      <c r="A89" s="8" t="s">
        <v>51</v>
      </c>
      <c r="B89" s="2">
        <v>68.0</v>
      </c>
      <c r="C89" s="8"/>
      <c r="D89" s="8"/>
      <c r="K89" s="2"/>
    </row>
    <row r="90">
      <c r="A90" s="8" t="s">
        <v>54</v>
      </c>
      <c r="B90" s="8">
        <v>0.85</v>
      </c>
      <c r="C90" s="8"/>
      <c r="D90" s="8"/>
      <c r="K90" s="2"/>
    </row>
    <row r="91">
      <c r="A91" s="8" t="s">
        <v>150</v>
      </c>
      <c r="B91" s="8"/>
      <c r="C91" s="8">
        <f t="shared" ref="C91:F91" si="39">$B$88+$B$89*(C87)^$B$90</f>
        <v>170590.5705</v>
      </c>
      <c r="D91" s="8">
        <f t="shared" si="39"/>
        <v>170590.5705</v>
      </c>
      <c r="E91" s="8">
        <f t="shared" si="39"/>
        <v>170590.5705</v>
      </c>
      <c r="F91" s="8">
        <f t="shared" si="39"/>
        <v>170590.5705</v>
      </c>
      <c r="G91">
        <f>sum(C91:F91)</f>
        <v>682362.282</v>
      </c>
      <c r="K91" s="2"/>
    </row>
    <row r="92">
      <c r="A92" s="37"/>
      <c r="B92" s="40"/>
      <c r="C92" s="8"/>
      <c r="D92" s="8"/>
      <c r="K92" s="2"/>
    </row>
    <row r="93">
      <c r="A93" s="50" t="s">
        <v>57</v>
      </c>
      <c r="B93" s="33">
        <f>(G77+G91)*(556.8/509.7)*8.26876804</f>
        <v>6196145.283</v>
      </c>
      <c r="C93" s="8"/>
      <c r="D93" s="8"/>
      <c r="I93" s="51" t="s">
        <v>151</v>
      </c>
      <c r="K93" s="5" t="s">
        <v>152</v>
      </c>
      <c r="L93" s="11" t="s">
        <v>153</v>
      </c>
      <c r="M93" s="5" t="s">
        <v>154</v>
      </c>
      <c r="N93" s="11" t="s">
        <v>155</v>
      </c>
    </row>
    <row r="94">
      <c r="I94" s="5" t="s">
        <v>156</v>
      </c>
      <c r="K94" s="2">
        <f t="shared" ref="K94:N94" si="40">2241*1000/3600</f>
        <v>622.5</v>
      </c>
      <c r="L94" s="2">
        <f t="shared" si="40"/>
        <v>622.5</v>
      </c>
      <c r="M94" s="2">
        <f t="shared" si="40"/>
        <v>622.5</v>
      </c>
      <c r="N94" s="2">
        <f t="shared" si="40"/>
        <v>622.5</v>
      </c>
    </row>
    <row r="95">
      <c r="A95" s="2"/>
      <c r="I95" s="5" t="s">
        <v>48</v>
      </c>
      <c r="J95" s="5">
        <v>6900.0</v>
      </c>
      <c r="K95" s="2"/>
    </row>
    <row r="96">
      <c r="G96" s="5"/>
      <c r="I96" s="5" t="s">
        <v>51</v>
      </c>
      <c r="J96" s="5">
        <v>206.0</v>
      </c>
      <c r="K96" s="2"/>
    </row>
    <row r="97">
      <c r="A97" s="11" t="s">
        <v>157</v>
      </c>
      <c r="B97" s="5">
        <v>1.7</v>
      </c>
      <c r="E97" s="5"/>
      <c r="G97" s="5"/>
      <c r="I97" s="5" t="s">
        <v>54</v>
      </c>
      <c r="J97" s="5">
        <v>0.9</v>
      </c>
      <c r="K97" s="2"/>
    </row>
    <row r="98">
      <c r="A98" s="52" t="s">
        <v>158</v>
      </c>
      <c r="B98" s="27">
        <v>1.3</v>
      </c>
      <c r="E98" s="53" t="s">
        <v>159</v>
      </c>
      <c r="G98" s="5"/>
      <c r="I98" s="5" t="s">
        <v>160</v>
      </c>
      <c r="K98" s="32">
        <f t="shared" ref="K98:N98" si="41">$J$95+$J$96*(K94)^$J$97</f>
        <v>74289.56307</v>
      </c>
      <c r="L98" s="32">
        <f t="shared" si="41"/>
        <v>74289.56307</v>
      </c>
      <c r="M98" s="32">
        <f t="shared" si="41"/>
        <v>74289.56307</v>
      </c>
      <c r="N98" s="32">
        <f t="shared" si="41"/>
        <v>74289.56307</v>
      </c>
    </row>
    <row r="99">
      <c r="A99" s="52" t="s">
        <v>161</v>
      </c>
      <c r="B99" s="27">
        <v>0.3</v>
      </c>
      <c r="E99" s="5" t="s">
        <v>162</v>
      </c>
      <c r="F99">
        <f>78.668*1000</f>
        <v>78668</v>
      </c>
      <c r="G99" s="5" t="s">
        <v>163</v>
      </c>
      <c r="I99" s="5" t="s">
        <v>164</v>
      </c>
      <c r="K99" s="11">
        <v>1717.0</v>
      </c>
      <c r="L99" s="11">
        <v>1717.0</v>
      </c>
      <c r="M99" s="11">
        <v>1717.0</v>
      </c>
      <c r="N99" s="11">
        <v>1717.0</v>
      </c>
    </row>
    <row r="100">
      <c r="A100" s="52" t="s">
        <v>165</v>
      </c>
      <c r="B100" s="27">
        <v>0.8</v>
      </c>
      <c r="E100" s="5" t="s">
        <v>166</v>
      </c>
      <c r="F100">
        <f>142.101*1000</f>
        <v>142101</v>
      </c>
      <c r="G100" s="5" t="s">
        <v>163</v>
      </c>
      <c r="I100" s="5" t="s">
        <v>48</v>
      </c>
      <c r="J100" s="5">
        <v>-950.0</v>
      </c>
      <c r="K100" s="2"/>
    </row>
    <row r="101">
      <c r="A101" s="52" t="s">
        <v>167</v>
      </c>
      <c r="B101" s="27">
        <v>0.3</v>
      </c>
      <c r="E101" s="5" t="s">
        <v>168</v>
      </c>
      <c r="F101">
        <f>-242/3600</f>
        <v>-0.06722222222</v>
      </c>
      <c r="I101" s="5" t="s">
        <v>51</v>
      </c>
      <c r="J101" s="5">
        <v>1770.0</v>
      </c>
      <c r="K101" s="2"/>
    </row>
    <row r="102">
      <c r="A102" s="52" t="s">
        <v>169</v>
      </c>
      <c r="B102" s="27">
        <v>0.2</v>
      </c>
      <c r="E102" s="54" t="s">
        <v>170</v>
      </c>
      <c r="F102">
        <f>((-2*242-394)+74)/3600</f>
        <v>-0.2233333333</v>
      </c>
      <c r="I102" s="5" t="s">
        <v>54</v>
      </c>
      <c r="J102" s="5">
        <v>0.6</v>
      </c>
    </row>
    <row r="103">
      <c r="A103" s="52" t="s">
        <v>171</v>
      </c>
      <c r="B103" s="27">
        <v>0.3</v>
      </c>
      <c r="E103" s="5" t="s">
        <v>172</v>
      </c>
      <c r="F103">
        <f>190884469.7/(3600)</f>
        <v>53023.46381</v>
      </c>
      <c r="I103" s="5" t="s">
        <v>160</v>
      </c>
      <c r="K103">
        <f t="shared" ref="K103:N103" si="42">$J$100+$J$101*K99^$J$102</f>
        <v>153516.9045</v>
      </c>
      <c r="L103">
        <f t="shared" si="42"/>
        <v>153516.9045</v>
      </c>
      <c r="M103">
        <f t="shared" si="42"/>
        <v>153516.9045</v>
      </c>
      <c r="N103">
        <f t="shared" si="42"/>
        <v>153516.9045</v>
      </c>
    </row>
    <row r="104">
      <c r="A104" s="52" t="s">
        <v>173</v>
      </c>
      <c r="B104" s="27">
        <v>0.2</v>
      </c>
      <c r="E104" s="5"/>
      <c r="I104" s="55" t="s">
        <v>174</v>
      </c>
      <c r="J104" s="33">
        <f>((sum(K98:N98)+sum(K103:N103))*J105)*(556.8/509.7)*8.26876804</f>
        <v>10700271.46</v>
      </c>
    </row>
    <row r="105">
      <c r="A105" s="52" t="s">
        <v>175</v>
      </c>
      <c r="B105" s="27">
        <v>0.1</v>
      </c>
      <c r="E105" s="1"/>
      <c r="F105" s="2"/>
      <c r="I105" s="5" t="s">
        <v>176</v>
      </c>
      <c r="J105">
        <f>1.3</f>
        <v>1.3</v>
      </c>
      <c r="O105" s="2"/>
    </row>
    <row r="106">
      <c r="A106" s="52" t="s">
        <v>177</v>
      </c>
      <c r="B106" s="27">
        <v>0.3</v>
      </c>
      <c r="E106" s="2"/>
      <c r="F106" s="8"/>
      <c r="G106" s="40"/>
      <c r="H106" s="40"/>
      <c r="I106" s="40"/>
      <c r="J106" s="5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6"/>
      <c r="AE106" s="4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</row>
    <row r="107">
      <c r="A107" s="52" t="s">
        <v>178</v>
      </c>
      <c r="B107" s="27">
        <v>0.3</v>
      </c>
      <c r="E107" s="2" t="s">
        <v>179</v>
      </c>
      <c r="F107" s="57">
        <v>222979.43</v>
      </c>
      <c r="G107" s="2">
        <f>F107</f>
        <v>222979.43</v>
      </c>
      <c r="H107" t="s">
        <v>180</v>
      </c>
      <c r="N107" s="10"/>
      <c r="O107" s="2"/>
      <c r="S107" s="10"/>
      <c r="AC107" s="58"/>
    </row>
    <row r="108">
      <c r="A108" s="52" t="s">
        <v>181</v>
      </c>
      <c r="B108" s="27">
        <v>0.1</v>
      </c>
      <c r="E108" s="11" t="s">
        <v>182</v>
      </c>
      <c r="F108" s="8">
        <f>(2*(F107+F99)+0.5*F100)</f>
        <v>674345.36</v>
      </c>
      <c r="G108" s="2" t="s">
        <v>183</v>
      </c>
      <c r="H108" s="59"/>
      <c r="N108" s="10"/>
      <c r="O108" s="2"/>
    </row>
    <row r="109">
      <c r="A109" s="60" t="s">
        <v>184</v>
      </c>
      <c r="B109" s="27">
        <f>B93+B67+B38+B28+B17+J104</f>
        <v>338807297.2</v>
      </c>
      <c r="E109" s="2" t="s">
        <v>185</v>
      </c>
      <c r="F109" s="8">
        <f>F108/0.21</f>
        <v>3211168.381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>
      <c r="A110" s="60" t="s">
        <v>186</v>
      </c>
      <c r="B110" s="27">
        <f>B109*((1+B100)+(B99+B102+B101+B103+B104+B105)/B98)</f>
        <v>974722531.9</v>
      </c>
      <c r="E110" s="2" t="s">
        <v>187</v>
      </c>
      <c r="F110" s="40">
        <f>F109*0.78</f>
        <v>2504711.337</v>
      </c>
      <c r="G110" s="11" t="s">
        <v>188</v>
      </c>
      <c r="H110" s="5"/>
      <c r="I110" s="5"/>
      <c r="J110" s="10"/>
      <c r="K110" s="10"/>
      <c r="L110" s="10"/>
      <c r="M110" s="10"/>
      <c r="N110" s="10"/>
      <c r="O110" s="14"/>
      <c r="P110" s="14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>
      <c r="A111" s="61" t="s">
        <v>189</v>
      </c>
      <c r="B111">
        <f>M28*((1+B100)+(B99+B102+B101+B103+B104+B105)/B97)</f>
        <v>18579999.14</v>
      </c>
      <c r="E111" s="2" t="s">
        <v>190</v>
      </c>
      <c r="F111" s="8">
        <f>F109*0.01</f>
        <v>32111.68381</v>
      </c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>
      <c r="A112" s="5" t="s">
        <v>191</v>
      </c>
      <c r="B112">
        <f>B111+B110</f>
        <v>993302531</v>
      </c>
      <c r="C112" s="5" t="s">
        <v>192</v>
      </c>
      <c r="E112" s="2" t="s">
        <v>193</v>
      </c>
      <c r="F112" s="8">
        <f>F99+F107</f>
        <v>301647.43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>
      <c r="A113" s="62" t="s">
        <v>194</v>
      </c>
      <c r="B113" s="27">
        <f>B112*(1+B106)*(1+B107+B108)</f>
        <v>1807810606</v>
      </c>
      <c r="D113" s="5"/>
      <c r="E113" s="2" t="s">
        <v>195</v>
      </c>
      <c r="F113">
        <f>(F99+F107)*2+F100</f>
        <v>745395.86</v>
      </c>
    </row>
    <row r="114">
      <c r="A114" s="31"/>
      <c r="E114" s="2" t="s">
        <v>196</v>
      </c>
      <c r="F114">
        <f>F110+F111+F112+F113</f>
        <v>3583866.311</v>
      </c>
      <c r="O114" s="10"/>
    </row>
    <row r="115">
      <c r="A115" s="11" t="s">
        <v>197</v>
      </c>
      <c r="B115">
        <f>Z8</f>
        <v>12230.68592</v>
      </c>
      <c r="E115" s="17" t="s">
        <v>198</v>
      </c>
      <c r="F115">
        <f>F110/F114</f>
        <v>0.6988852596</v>
      </c>
      <c r="G115" s="8"/>
      <c r="H115" s="8"/>
      <c r="I115" s="8"/>
      <c r="J115" s="19"/>
      <c r="K115" s="19"/>
      <c r="L115" s="19"/>
      <c r="M115" s="19"/>
      <c r="N115" s="19"/>
      <c r="O115" s="20"/>
      <c r="P115" s="20"/>
      <c r="Q115" s="5"/>
      <c r="R115" s="2"/>
    </row>
    <row r="116">
      <c r="A116" s="63" t="s">
        <v>199</v>
      </c>
      <c r="B116" s="64">
        <f>B113</f>
        <v>1807810606</v>
      </c>
      <c r="C116" s="5" t="s">
        <v>200</v>
      </c>
      <c r="E116" s="2" t="s">
        <v>201</v>
      </c>
      <c r="F116">
        <f>F111/F114</f>
        <v>0.008960067431</v>
      </c>
      <c r="G116" s="21"/>
      <c r="H116" s="21"/>
      <c r="I116" s="21"/>
      <c r="J116" s="21"/>
      <c r="K116" s="10"/>
      <c r="L116" s="10"/>
      <c r="M116" s="10"/>
      <c r="N116" s="10"/>
      <c r="O116" s="10"/>
      <c r="P116" s="10"/>
      <c r="R116" s="11"/>
      <c r="S116" s="2"/>
    </row>
    <row r="117">
      <c r="A117" s="11" t="s">
        <v>202</v>
      </c>
      <c r="B117">
        <f>B115-B116</f>
        <v>-1807798376</v>
      </c>
      <c r="E117" s="2" t="s">
        <v>203</v>
      </c>
      <c r="F117" s="2">
        <f>F112/F114</f>
        <v>0.08416815914</v>
      </c>
      <c r="R117" s="11"/>
      <c r="S117" s="2"/>
    </row>
    <row r="118">
      <c r="E118" s="2" t="s">
        <v>204</v>
      </c>
      <c r="F118" s="2">
        <f>F113/F114</f>
        <v>0.2079865138</v>
      </c>
      <c r="R118" s="11"/>
      <c r="S118" s="5"/>
    </row>
    <row r="119">
      <c r="E119" s="2" t="s">
        <v>205</v>
      </c>
      <c r="F119" s="11">
        <f>29.124</f>
        <v>29.124</v>
      </c>
      <c r="G119" t="s">
        <v>206</v>
      </c>
      <c r="O119" s="2"/>
      <c r="R119" s="5"/>
    </row>
    <row r="120">
      <c r="A120" s="5" t="s">
        <v>207</v>
      </c>
      <c r="B120">
        <f>F125</f>
        <v>10534.10275</v>
      </c>
      <c r="C120" s="5" t="s">
        <v>208</v>
      </c>
      <c r="E120" s="8" t="s">
        <v>209</v>
      </c>
      <c r="F120">
        <f>20.786</f>
        <v>20.786</v>
      </c>
      <c r="Q120" s="2"/>
    </row>
    <row r="121">
      <c r="A121" s="5" t="s">
        <v>210</v>
      </c>
      <c r="B121">
        <f>B120*0.3</f>
        <v>3160.230826</v>
      </c>
      <c r="C121" s="5" t="s">
        <v>211</v>
      </c>
      <c r="E121" s="11" t="s">
        <v>212</v>
      </c>
      <c r="F121">
        <v>49.4675</v>
      </c>
      <c r="O121" s="2"/>
    </row>
    <row r="122">
      <c r="A122" s="11" t="s">
        <v>213</v>
      </c>
      <c r="B122">
        <f>G140</f>
        <v>4127.762971</v>
      </c>
      <c r="E122" s="11" t="s">
        <v>214</v>
      </c>
      <c r="F122" s="5">
        <v>38.247</v>
      </c>
      <c r="G122" s="5"/>
      <c r="O122" s="2"/>
    </row>
    <row r="123">
      <c r="A123" s="5" t="s">
        <v>215</v>
      </c>
      <c r="B123">
        <f>20*10^3</f>
        <v>20000</v>
      </c>
      <c r="E123" s="17" t="s">
        <v>216</v>
      </c>
      <c r="F123">
        <f>(F119*F115+F120*F116+F121*F117+F122*F118)/(3600*10^3)</f>
        <v>0.000009071951908</v>
      </c>
      <c r="H123" s="8"/>
      <c r="I123" s="8"/>
      <c r="J123" s="19"/>
      <c r="K123" s="18"/>
      <c r="L123" s="19"/>
      <c r="M123" s="18"/>
      <c r="P123" s="18"/>
      <c r="Q123" s="5"/>
      <c r="R123" s="5"/>
    </row>
    <row r="124">
      <c r="A124" s="11" t="s">
        <v>217</v>
      </c>
      <c r="B124">
        <f>E140</f>
        <v>23139.81928</v>
      </c>
      <c r="E124" s="5" t="s">
        <v>218</v>
      </c>
      <c r="F124" s="5">
        <f>F114*F123*(1033-493)</f>
        <v>17556.83792</v>
      </c>
      <c r="G124" s="11" t="s">
        <v>219</v>
      </c>
      <c r="H124" s="11"/>
      <c r="I124" s="2"/>
      <c r="J124" s="2"/>
      <c r="K124" s="2"/>
      <c r="L124" s="11"/>
      <c r="M124" s="2"/>
      <c r="O124" s="5"/>
      <c r="P124" s="2"/>
    </row>
    <row r="125">
      <c r="A125" s="11" t="s">
        <v>220</v>
      </c>
      <c r="B125">
        <f>4.32*10^4</f>
        <v>43200</v>
      </c>
      <c r="E125" s="5" t="s">
        <v>221</v>
      </c>
      <c r="F125">
        <f>F124*0.6</f>
        <v>10534.10275</v>
      </c>
      <c r="O125" s="5"/>
      <c r="P125" s="2"/>
    </row>
    <row r="126">
      <c r="A126" s="5" t="s">
        <v>222</v>
      </c>
      <c r="B126">
        <f>B125* 270*8.26876804/1000</f>
        <v>96446.91042</v>
      </c>
      <c r="C126">
        <f>B126*24*365</f>
        <v>844874935.3</v>
      </c>
      <c r="D126" s="5" t="s">
        <v>223</v>
      </c>
      <c r="E126" s="11" t="s">
        <v>224</v>
      </c>
      <c r="F126">
        <f>(G107*16)/1000</f>
        <v>3567.67088</v>
      </c>
      <c r="G126" s="5"/>
      <c r="J126" s="5"/>
      <c r="O126" s="5"/>
      <c r="P126" s="2"/>
    </row>
    <row r="127">
      <c r="A127" s="11" t="s">
        <v>225</v>
      </c>
      <c r="B127">
        <f>N78</f>
        <v>7195.920884</v>
      </c>
      <c r="E127" s="2"/>
      <c r="F127" s="2"/>
      <c r="O127" s="5"/>
      <c r="P127" s="11"/>
    </row>
    <row r="128">
      <c r="E128" s="2">
        <f>0</f>
        <v>0</v>
      </c>
      <c r="F128" s="2">
        <f>(F107+F99)*F102+(F100*F101)+F103+(F114*F123*(1033-298))</f>
        <v>-0.00005680129107</v>
      </c>
      <c r="O128" s="5"/>
      <c r="P128" s="2"/>
    </row>
    <row r="129">
      <c r="E129" s="65"/>
      <c r="F129" s="65"/>
      <c r="O129" s="5"/>
      <c r="P129" s="2"/>
    </row>
    <row r="130">
      <c r="A130" s="11" t="s">
        <v>226</v>
      </c>
      <c r="B130" s="5">
        <v>0.3</v>
      </c>
      <c r="O130" s="5"/>
      <c r="P130" s="2"/>
    </row>
    <row r="131">
      <c r="A131" s="11" t="s">
        <v>227</v>
      </c>
      <c r="B131" s="66">
        <f>(E140+B122)</f>
        <v>27267.58226</v>
      </c>
      <c r="D131" s="67" t="s">
        <v>228</v>
      </c>
      <c r="E131" s="68">
        <f>24.37</f>
        <v>24.37</v>
      </c>
      <c r="F131" s="5" t="s">
        <v>229</v>
      </c>
      <c r="G131" s="68">
        <f>24.37</f>
        <v>24.37</v>
      </c>
      <c r="H131" s="65"/>
      <c r="I131" s="2"/>
      <c r="J131" s="2"/>
      <c r="K131" s="2"/>
      <c r="L131" s="2"/>
      <c r="M131" s="2"/>
      <c r="O131" s="31"/>
      <c r="Q131" s="32"/>
      <c r="R131" s="33"/>
    </row>
    <row r="132">
      <c r="A132" s="11" t="s">
        <v>230</v>
      </c>
      <c r="B132">
        <f>270*8.26876804/1000</f>
        <v>2.232567371</v>
      </c>
      <c r="C132" s="69"/>
      <c r="D132" s="5" t="s">
        <v>231</v>
      </c>
      <c r="E132">
        <f>1.055</f>
        <v>1.055</v>
      </c>
      <c r="F132" s="5" t="s">
        <v>232</v>
      </c>
      <c r="G132">
        <f>1.055</f>
        <v>1.055</v>
      </c>
      <c r="O132" s="31"/>
      <c r="Q132" s="33"/>
    </row>
    <row r="133">
      <c r="A133" s="2"/>
      <c r="D133" s="5" t="s">
        <v>233</v>
      </c>
      <c r="E133" s="70">
        <f>20000</f>
        <v>20000</v>
      </c>
      <c r="G133" s="70">
        <f>F126</f>
        <v>3567.67088</v>
      </c>
      <c r="H133" s="71"/>
      <c r="I133" s="8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36"/>
      <c r="AD133" s="5"/>
    </row>
    <row r="134">
      <c r="A134" s="2"/>
      <c r="D134" s="5" t="s">
        <v>234</v>
      </c>
      <c r="E134" s="72">
        <f>F102*3600*1000</f>
        <v>-804000</v>
      </c>
      <c r="G134" s="72">
        <f>$F$102*3600*1000</f>
        <v>-804000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E134" s="5"/>
    </row>
    <row r="135">
      <c r="A135" s="53" t="s">
        <v>235</v>
      </c>
      <c r="B135" s="73"/>
      <c r="D135" s="5" t="s">
        <v>236</v>
      </c>
      <c r="E135" s="5">
        <f>E131*(1/E132)</f>
        <v>23.09952607</v>
      </c>
      <c r="G135" s="5">
        <f>G131*(1/G132)</f>
        <v>23.09952607</v>
      </c>
    </row>
    <row r="136">
      <c r="A136" s="5" t="s">
        <v>237</v>
      </c>
      <c r="B136">
        <f>60000*8.26876804*C136</f>
        <v>7441891.236</v>
      </c>
      <c r="C136" s="5">
        <v>15.0</v>
      </c>
      <c r="D136" s="5" t="s">
        <v>238</v>
      </c>
      <c r="E136" s="5">
        <f>12.02+(4*1.008)</f>
        <v>16.052</v>
      </c>
      <c r="G136" s="5">
        <f>12.02+(4*1.008)</f>
        <v>16.052</v>
      </c>
    </row>
    <row r="137">
      <c r="A137" s="11" t="s">
        <v>239</v>
      </c>
      <c r="B137">
        <f>0.25*B136</f>
        <v>1860472.809</v>
      </c>
      <c r="D137" s="5" t="s">
        <v>240</v>
      </c>
      <c r="E137" s="74">
        <f>E133/E136</f>
        <v>1245.95066</v>
      </c>
      <c r="G137" s="74">
        <f>G133/G136</f>
        <v>222.2570944</v>
      </c>
      <c r="H137" s="6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>
      <c r="A138" s="11" t="s">
        <v>241</v>
      </c>
      <c r="B138">
        <f>B136*0.4+B137</f>
        <v>4837229.303</v>
      </c>
      <c r="D138" s="5" t="s">
        <v>242</v>
      </c>
      <c r="E138" s="65">
        <f>-E137*E134</f>
        <v>1001744331</v>
      </c>
      <c r="F138" s="65"/>
      <c r="G138" s="65">
        <f>-G137*G134</f>
        <v>178694703.9</v>
      </c>
      <c r="O138" s="2"/>
    </row>
    <row r="139">
      <c r="A139" s="5" t="s">
        <v>243</v>
      </c>
      <c r="B139">
        <f>(E140+B122)*352*24</f>
        <v>230356534.9</v>
      </c>
      <c r="D139" s="5" t="s">
        <v>244</v>
      </c>
      <c r="E139" s="65">
        <f>E138/1000000</f>
        <v>1001.744331</v>
      </c>
      <c r="F139" s="65"/>
      <c r="G139" s="65">
        <f>G138/1000000</f>
        <v>178.6947039</v>
      </c>
      <c r="O139" s="2"/>
    </row>
    <row r="140">
      <c r="A140" s="5" t="s">
        <v>245</v>
      </c>
      <c r="B140">
        <f>B127*352*24</f>
        <v>60791139.63</v>
      </c>
      <c r="D140" s="5" t="s">
        <v>246</v>
      </c>
      <c r="E140" s="75">
        <f>E135*E139</f>
        <v>23139.81928</v>
      </c>
      <c r="F140" s="75"/>
      <c r="G140" s="75">
        <f>G135*G139</f>
        <v>4127.762971</v>
      </c>
      <c r="O140" s="2"/>
    </row>
    <row r="141">
      <c r="A141" s="5" t="s">
        <v>247</v>
      </c>
      <c r="B141">
        <f>E147*352*24</f>
        <v>77527296</v>
      </c>
      <c r="D141" s="5"/>
      <c r="E141" s="65"/>
      <c r="G141" s="65"/>
      <c r="H141" s="6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>
      <c r="A142" s="5"/>
      <c r="E142" s="74"/>
      <c r="O142" s="2"/>
    </row>
    <row r="143">
      <c r="A143" s="5" t="s">
        <v>248</v>
      </c>
      <c r="B143">
        <f>B112*0.03</f>
        <v>29799075.93</v>
      </c>
      <c r="C143" s="5" t="s">
        <v>249</v>
      </c>
      <c r="E143" s="76"/>
      <c r="F143" s="5"/>
      <c r="O143" s="2"/>
    </row>
    <row r="144">
      <c r="A144" s="5" t="s">
        <v>250</v>
      </c>
      <c r="B144">
        <f>B136+B137+B138+B139+B140+B141+B142+B143</f>
        <v>412613639.8</v>
      </c>
      <c r="D144" s="2"/>
      <c r="O144" s="2"/>
    </row>
    <row r="145">
      <c r="D145" s="11" t="s">
        <v>251</v>
      </c>
      <c r="O145" s="2"/>
    </row>
    <row r="146">
      <c r="A146" s="77" t="s">
        <v>252</v>
      </c>
      <c r="D146" s="11" t="s">
        <v>253</v>
      </c>
      <c r="E146">
        <f>3.059*10^4</f>
        <v>30590</v>
      </c>
      <c r="O146" s="2"/>
    </row>
    <row r="147">
      <c r="A147" s="5" t="s">
        <v>254</v>
      </c>
      <c r="B147">
        <f>B126*352*24</f>
        <v>814783499.2</v>
      </c>
      <c r="D147" s="50" t="s">
        <v>255</v>
      </c>
      <c r="E147" s="33">
        <f>E146*0.3</f>
        <v>9177</v>
      </c>
      <c r="O147" s="2"/>
    </row>
    <row r="148">
      <c r="A148" s="5" t="s">
        <v>256</v>
      </c>
      <c r="B148">
        <f>B115*352*24</f>
        <v>103324834.7</v>
      </c>
      <c r="E148" s="72"/>
      <c r="F148" s="65"/>
      <c r="G148" s="65"/>
      <c r="H148" s="65"/>
      <c r="I148" s="2"/>
      <c r="J148" s="2"/>
      <c r="K148" s="2"/>
      <c r="L148" s="5"/>
      <c r="M148" s="5"/>
      <c r="N148" s="5"/>
      <c r="O148" s="5"/>
    </row>
    <row r="149">
      <c r="E149" s="65"/>
      <c r="F149" s="74"/>
      <c r="G149" s="27"/>
      <c r="H149" s="5"/>
      <c r="I149" s="5"/>
      <c r="J149" s="5"/>
      <c r="K149" s="5"/>
      <c r="L149" s="5"/>
      <c r="M149" s="5"/>
      <c r="N149" s="5"/>
      <c r="O149" s="5"/>
    </row>
    <row r="150">
      <c r="A150" s="5" t="s">
        <v>257</v>
      </c>
      <c r="B150">
        <f>B147+B148</f>
        <v>918108333.9</v>
      </c>
      <c r="E150" s="65"/>
      <c r="F150" s="74"/>
      <c r="G150" s="38"/>
      <c r="H150" s="5"/>
      <c r="I150" s="5"/>
      <c r="J150" s="5"/>
      <c r="K150" s="5"/>
      <c r="L150" s="5"/>
      <c r="M150" s="5"/>
      <c r="N150" s="5"/>
      <c r="O150" s="5"/>
    </row>
    <row r="151">
      <c r="A151" s="2"/>
      <c r="E151" s="65"/>
      <c r="F151" s="65"/>
      <c r="G151" s="78"/>
      <c r="H151" s="78"/>
      <c r="I151" s="39"/>
      <c r="J151" s="39"/>
      <c r="K151" s="39"/>
      <c r="L151" s="39"/>
      <c r="M151" s="39"/>
      <c r="N151" s="39"/>
      <c r="O151" s="39"/>
    </row>
    <row r="152">
      <c r="A152" s="79" t="s">
        <v>258</v>
      </c>
      <c r="E152" s="65"/>
      <c r="F152" s="65"/>
      <c r="G152" s="27"/>
      <c r="P152" s="5"/>
    </row>
    <row r="153">
      <c r="A153" s="5" t="s">
        <v>259</v>
      </c>
      <c r="B153">
        <f>B112*0.01</f>
        <v>9933025.31</v>
      </c>
      <c r="C153" s="5" t="s">
        <v>260</v>
      </c>
      <c r="E153" s="65"/>
      <c r="F153" s="65"/>
      <c r="G153" s="80"/>
      <c r="H153" s="65"/>
      <c r="Q153" s="2"/>
    </row>
    <row r="154">
      <c r="B154">
        <f>0.15*B116</f>
        <v>271171591</v>
      </c>
      <c r="C154" s="5"/>
      <c r="E154" s="65"/>
      <c r="F154" s="65"/>
      <c r="G154" s="65"/>
      <c r="H154" s="71"/>
      <c r="I154" s="40"/>
      <c r="J154" s="81"/>
      <c r="K154" s="82"/>
      <c r="L154" s="82"/>
      <c r="M154" s="8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83" t="s">
        <v>235</v>
      </c>
      <c r="B155" s="84"/>
      <c r="C155" s="83" t="s">
        <v>261</v>
      </c>
      <c r="D155" s="84"/>
      <c r="E155" s="83" t="s">
        <v>262</v>
      </c>
      <c r="F155" s="85"/>
      <c r="G155" s="86"/>
      <c r="H155" s="87" t="s">
        <v>252</v>
      </c>
      <c r="I155" s="88"/>
      <c r="J155" s="87" t="s">
        <v>263</v>
      </c>
      <c r="K155" s="88"/>
      <c r="L155" s="88"/>
      <c r="P155" s="10"/>
      <c r="Q155" s="2"/>
      <c r="U155" s="10"/>
    </row>
    <row r="156">
      <c r="A156" s="5" t="s">
        <v>264</v>
      </c>
      <c r="B156">
        <f>0.05*B116</f>
        <v>90390530.32</v>
      </c>
      <c r="C156" s="5" t="s">
        <v>243</v>
      </c>
      <c r="D156">
        <f>(B122+E140)*352*24</f>
        <v>230356534.9</v>
      </c>
      <c r="E156" s="5" t="s">
        <v>265</v>
      </c>
      <c r="F156" s="66">
        <f>60000*8.26876804*15</f>
        <v>7441891.236</v>
      </c>
      <c r="G156" s="74"/>
      <c r="H156" s="5" t="s">
        <v>254</v>
      </c>
      <c r="I156">
        <f>B126*352*24</f>
        <v>814783499.2</v>
      </c>
      <c r="J156" s="89" t="s">
        <v>266</v>
      </c>
      <c r="K156">
        <f>D161</f>
        <v>368674970.5</v>
      </c>
      <c r="P156" s="10"/>
      <c r="Q156" s="2"/>
    </row>
    <row r="157">
      <c r="A157" s="2"/>
      <c r="C157" s="5" t="s">
        <v>245</v>
      </c>
      <c r="D157">
        <f>N78*352*24</f>
        <v>60791139.63</v>
      </c>
      <c r="E157" s="11" t="s">
        <v>239</v>
      </c>
      <c r="F157" s="65">
        <f>0.25*F156</f>
        <v>1860472.809</v>
      </c>
      <c r="G157" s="65"/>
      <c r="H157" s="5" t="s">
        <v>256</v>
      </c>
      <c r="I157">
        <f>B115*352*24</f>
        <v>103324834.7</v>
      </c>
      <c r="J157" s="74" t="s">
        <v>200</v>
      </c>
      <c r="K157" s="65">
        <f>F161</f>
        <v>53871694.59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C158" s="5" t="s">
        <v>247</v>
      </c>
      <c r="D158">
        <f>E147*352*24</f>
        <v>77527296</v>
      </c>
      <c r="E158" s="11" t="s">
        <v>241</v>
      </c>
      <c r="F158" s="65">
        <f>F156*0.4+F157</f>
        <v>4837229.303</v>
      </c>
      <c r="G158" s="74" t="s">
        <v>267</v>
      </c>
      <c r="J158" s="5"/>
      <c r="K158" s="5"/>
      <c r="L158" s="10"/>
      <c r="M158" s="10"/>
      <c r="N158" s="10"/>
      <c r="O158" s="10"/>
      <c r="P158" s="10"/>
      <c r="Q158" s="14"/>
      <c r="R158" s="14"/>
      <c r="S158" s="15"/>
      <c r="T158" s="15"/>
      <c r="U158" s="15"/>
      <c r="V158" s="15"/>
      <c r="W158" s="15"/>
      <c r="X158" s="15"/>
      <c r="Y158" s="15"/>
      <c r="Z158" s="15"/>
    </row>
    <row r="159">
      <c r="A159" s="2"/>
      <c r="E159" s="5" t="s">
        <v>248</v>
      </c>
      <c r="F159" s="90">
        <f>B112*0.03</f>
        <v>29799075.93</v>
      </c>
      <c r="G159" s="74" t="s">
        <v>268</v>
      </c>
      <c r="H159" s="5"/>
      <c r="J159" s="65"/>
      <c r="K159" s="6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E160" s="5" t="s">
        <v>259</v>
      </c>
      <c r="F160" s="65">
        <f>0.01*B112</f>
        <v>9933025.31</v>
      </c>
      <c r="G160" s="74" t="s">
        <v>269</v>
      </c>
      <c r="H160" s="71"/>
      <c r="I160" s="91" t="s">
        <v>270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11" t="s">
        <v>271</v>
      </c>
      <c r="B161">
        <f>B156</f>
        <v>90390530.32</v>
      </c>
      <c r="D161">
        <f>sum(D156:D158)</f>
        <v>368674970.5</v>
      </c>
      <c r="E161" s="71"/>
      <c r="F161" s="71">
        <f>F156+F157+F158+F159+F160</f>
        <v>53871694.59</v>
      </c>
      <c r="G161" s="65"/>
      <c r="I161">
        <f>I156+I157</f>
        <v>918108333.9</v>
      </c>
      <c r="K161">
        <f>K156+K157</f>
        <v>422546665.1</v>
      </c>
    </row>
    <row r="162">
      <c r="A162" s="2"/>
      <c r="E162" s="71"/>
      <c r="F162" s="71"/>
      <c r="G162" s="65"/>
      <c r="Q162" s="10"/>
    </row>
    <row r="163">
      <c r="A163" s="2"/>
      <c r="D163" s="92" t="s">
        <v>272</v>
      </c>
      <c r="E163" s="93" t="s">
        <v>273</v>
      </c>
      <c r="F163" s="71"/>
      <c r="G163" s="72"/>
      <c r="I163" s="40" t="s">
        <v>274</v>
      </c>
      <c r="J163" s="19">
        <f>I161-K161</f>
        <v>495561668.8</v>
      </c>
      <c r="K163" s="18"/>
      <c r="L163" s="19"/>
      <c r="M163" s="19"/>
      <c r="N163" s="19"/>
      <c r="O163" s="19"/>
      <c r="P163" s="19"/>
      <c r="Q163" s="20"/>
      <c r="R163" s="20"/>
      <c r="S163" s="5"/>
      <c r="T163" s="2"/>
    </row>
    <row r="164">
      <c r="A164" s="2"/>
      <c r="D164" s="27">
        <f>D161+F161</f>
        <v>422546665.1</v>
      </c>
      <c r="E164" s="29">
        <f>B116</f>
        <v>1807810606</v>
      </c>
      <c r="F164" s="71"/>
      <c r="G164" s="65"/>
      <c r="I164" s="21"/>
      <c r="J164" s="21"/>
      <c r="K164" s="21"/>
      <c r="L164" s="21"/>
      <c r="M164" s="10"/>
      <c r="N164" s="10"/>
      <c r="O164" s="10"/>
      <c r="P164" s="10"/>
      <c r="Q164" s="10"/>
      <c r="R164" s="10"/>
      <c r="T164" s="11"/>
      <c r="U164" s="2"/>
    </row>
    <row r="165">
      <c r="A165" s="2"/>
      <c r="E165" s="71"/>
      <c r="F165" s="94"/>
      <c r="G165" s="65"/>
      <c r="H165" s="65"/>
      <c r="T165" s="11"/>
      <c r="U165" s="2"/>
    </row>
    <row r="166">
      <c r="A166" s="2"/>
      <c r="E166" s="71"/>
      <c r="F166" s="71"/>
      <c r="G166" s="65"/>
      <c r="H166" s="65"/>
      <c r="T166" s="11"/>
      <c r="U166" s="5"/>
    </row>
    <row r="167">
      <c r="A167" s="2"/>
      <c r="E167" s="71"/>
      <c r="F167" s="71"/>
      <c r="G167" s="65"/>
      <c r="H167" s="74"/>
      <c r="Q167" s="2"/>
      <c r="T167" s="5"/>
    </row>
    <row r="168">
      <c r="A168" s="2"/>
      <c r="E168" s="71"/>
      <c r="F168" s="65"/>
      <c r="G168" s="71"/>
      <c r="S168" s="2"/>
    </row>
    <row r="169">
      <c r="A169" s="2"/>
      <c r="E169" s="71"/>
      <c r="F169" s="71"/>
      <c r="G169" s="74"/>
      <c r="Q169" s="2"/>
    </row>
    <row r="170">
      <c r="A170" s="2"/>
      <c r="E170" s="71"/>
      <c r="F170" s="65"/>
      <c r="G170" s="74"/>
      <c r="H170" s="5"/>
      <c r="I170" s="5"/>
      <c r="Q170" s="2"/>
    </row>
    <row r="171">
      <c r="A171" s="2"/>
      <c r="E171" s="94"/>
      <c r="G171" s="72"/>
      <c r="J171" s="19"/>
      <c r="K171" s="18"/>
      <c r="L171" s="19"/>
      <c r="M171" s="18"/>
      <c r="N171" s="19"/>
      <c r="O171" s="18"/>
      <c r="R171" s="18"/>
      <c r="S171" s="5"/>
      <c r="T171" s="5"/>
    </row>
    <row r="172">
      <c r="A172" s="2"/>
      <c r="E172" s="76"/>
      <c r="F172" s="5"/>
      <c r="G172" s="5"/>
      <c r="H172" s="5"/>
      <c r="I172" s="11"/>
      <c r="J172" s="11"/>
      <c r="K172" s="2"/>
      <c r="L172" s="2"/>
      <c r="M172" s="2"/>
      <c r="N172" s="2"/>
      <c r="O172" s="2"/>
      <c r="Q172" s="5"/>
      <c r="R172" s="2"/>
    </row>
    <row r="173">
      <c r="A173" s="2"/>
      <c r="E173" s="65"/>
      <c r="G173" s="5"/>
      <c r="Q173" s="5"/>
      <c r="R173" s="2"/>
    </row>
    <row r="174">
      <c r="A174" s="2"/>
      <c r="E174" s="65"/>
      <c r="G174" s="74"/>
      <c r="I174" s="5"/>
      <c r="Q174" s="5"/>
      <c r="R174" s="2"/>
    </row>
    <row r="175">
      <c r="A175" s="2"/>
      <c r="E175" s="71"/>
      <c r="F175" s="71"/>
      <c r="G175" s="65"/>
      <c r="H175" s="65"/>
      <c r="Q175" s="5"/>
      <c r="R175" s="11"/>
    </row>
    <row r="176">
      <c r="A176" s="2"/>
      <c r="E176" s="65"/>
      <c r="G176" s="65"/>
      <c r="H176" s="65"/>
      <c r="Q176" s="5"/>
      <c r="R176" s="2"/>
    </row>
    <row r="177">
      <c r="A177" s="2"/>
      <c r="E177" s="65"/>
      <c r="G177" s="65"/>
      <c r="H177" s="65"/>
      <c r="Q177" s="5"/>
      <c r="R177" s="2"/>
    </row>
    <row r="178">
      <c r="A178" s="2"/>
      <c r="E178" s="65"/>
      <c r="F178" s="65"/>
      <c r="Q178" s="5"/>
      <c r="R178" s="2"/>
    </row>
    <row r="179">
      <c r="A179" s="2"/>
      <c r="E179" s="65"/>
      <c r="F179" s="65"/>
      <c r="G179" s="65"/>
      <c r="I179" s="2"/>
      <c r="J179" s="2"/>
      <c r="K179" s="2"/>
      <c r="L179" s="2"/>
      <c r="M179" s="2"/>
      <c r="N179" s="2"/>
      <c r="O179" s="2"/>
      <c r="Q179" s="31"/>
      <c r="S179" s="32"/>
      <c r="T179" s="33"/>
    </row>
    <row r="180">
      <c r="A180" s="2"/>
      <c r="E180" s="65"/>
      <c r="F180" s="65"/>
      <c r="G180" s="70"/>
      <c r="Q180" s="31"/>
      <c r="S180" s="33"/>
    </row>
    <row r="181">
      <c r="A181" s="2"/>
      <c r="E181" s="72"/>
      <c r="F181" s="71"/>
      <c r="G181" s="72"/>
      <c r="I181" s="8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>
      <c r="A182" s="2"/>
      <c r="E182" s="76"/>
      <c r="F182" s="94"/>
      <c r="G182" s="7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2"/>
      <c r="E183" s="95"/>
      <c r="G183" s="5"/>
    </row>
    <row r="184">
      <c r="A184" s="2"/>
      <c r="E184" s="95"/>
      <c r="G184" s="5"/>
    </row>
    <row r="185">
      <c r="A185" s="2"/>
      <c r="E185" s="5"/>
      <c r="G185" s="7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E186" s="5"/>
      <c r="G186" s="65"/>
      <c r="H186" s="65"/>
      <c r="Q186" s="2"/>
    </row>
    <row r="187">
      <c r="A187" s="2"/>
      <c r="E187" s="5"/>
      <c r="G187" s="65"/>
      <c r="H187" s="65"/>
      <c r="Q187" s="2"/>
    </row>
    <row r="188">
      <c r="A188" s="2"/>
      <c r="E188" s="5"/>
      <c r="G188" s="65"/>
      <c r="H188" s="65"/>
      <c r="Q188" s="2"/>
    </row>
    <row r="189">
      <c r="A189" s="2"/>
      <c r="E189" s="5"/>
      <c r="G189" s="6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E190" s="5"/>
      <c r="G190" s="74"/>
      <c r="Q190" s="2"/>
    </row>
    <row r="191">
      <c r="A191" s="2"/>
      <c r="E191" s="71"/>
      <c r="F191" s="71"/>
      <c r="G191" s="76"/>
      <c r="H191" s="5"/>
      <c r="Q191" s="2"/>
    </row>
    <row r="192">
      <c r="A192" s="2"/>
      <c r="E192" s="71"/>
      <c r="F192" s="71"/>
      <c r="G192" s="65"/>
      <c r="Q192" s="2"/>
    </row>
    <row r="193">
      <c r="A193" s="2"/>
      <c r="E193" s="71"/>
      <c r="F193" s="65"/>
      <c r="G193" s="65"/>
      <c r="Q193" s="2"/>
    </row>
    <row r="194">
      <c r="A194" s="2"/>
      <c r="E194" s="71"/>
      <c r="F194" s="71"/>
      <c r="G194" s="65"/>
      <c r="Q194" s="2"/>
    </row>
    <row r="195">
      <c r="A195" s="2"/>
      <c r="E195" s="71"/>
      <c r="F195" s="71"/>
      <c r="G195" s="65"/>
      <c r="Q195" s="2"/>
    </row>
    <row r="196">
      <c r="A196" s="2"/>
      <c r="E196" s="76"/>
      <c r="F196" s="94"/>
      <c r="G196" s="72"/>
      <c r="H196" s="65"/>
      <c r="I196" s="2"/>
      <c r="J196" s="2"/>
      <c r="K196" s="2"/>
      <c r="L196" s="2"/>
      <c r="M196" s="2"/>
      <c r="N196" s="5"/>
      <c r="O196" s="5"/>
      <c r="P196" s="5"/>
      <c r="Q196" s="5"/>
    </row>
    <row r="197">
      <c r="A197" s="2"/>
      <c r="E197" s="74"/>
      <c r="G197" s="65"/>
      <c r="H197" s="74"/>
      <c r="I197" s="27"/>
      <c r="J197" s="5"/>
      <c r="K197" s="5"/>
      <c r="L197" s="5"/>
      <c r="M197" s="5"/>
      <c r="N197" s="5"/>
      <c r="O197" s="5"/>
      <c r="P197" s="5"/>
      <c r="Q197" s="5"/>
    </row>
    <row r="198">
      <c r="A198" s="2"/>
      <c r="G198" s="65"/>
      <c r="H198" s="74"/>
      <c r="I198" s="38"/>
      <c r="J198" s="5"/>
      <c r="K198" s="5"/>
      <c r="L198" s="5"/>
      <c r="M198" s="5"/>
      <c r="N198" s="5"/>
      <c r="O198" s="5"/>
      <c r="P198" s="5"/>
      <c r="Q198" s="5"/>
    </row>
    <row r="199">
      <c r="A199" s="2"/>
      <c r="E199" s="65"/>
      <c r="G199" s="65"/>
      <c r="H199" s="65"/>
      <c r="I199" s="39"/>
      <c r="J199" s="39"/>
      <c r="K199" s="39"/>
      <c r="L199" s="39"/>
      <c r="M199" s="39"/>
      <c r="N199" s="39"/>
      <c r="O199" s="39"/>
      <c r="P199" s="39"/>
      <c r="Q199" s="39"/>
    </row>
    <row r="200">
      <c r="A200" s="2"/>
      <c r="G200" s="65"/>
      <c r="H200" s="65"/>
      <c r="I200" s="27"/>
      <c r="R200" s="5"/>
    </row>
    <row r="201">
      <c r="A201" s="2"/>
      <c r="E201" s="74"/>
      <c r="F201" s="5"/>
      <c r="G201" s="65"/>
      <c r="H201" s="65"/>
      <c r="I201" s="39"/>
      <c r="J201" s="39"/>
      <c r="K201" s="39"/>
      <c r="L201" s="39"/>
      <c r="M201" s="39"/>
      <c r="N201" s="39"/>
      <c r="O201" s="39"/>
      <c r="P201" s="39"/>
      <c r="Q201" s="39"/>
    </row>
    <row r="202">
      <c r="A202" s="2"/>
      <c r="E202" s="96"/>
      <c r="F202" s="27"/>
      <c r="G202" s="65"/>
      <c r="H202" s="65"/>
      <c r="I202" s="39"/>
      <c r="J202" s="39"/>
      <c r="K202" s="39"/>
      <c r="L202" s="39"/>
      <c r="M202" s="39"/>
      <c r="N202" s="39"/>
      <c r="O202" s="39"/>
      <c r="P202" s="39"/>
      <c r="Q202" s="39"/>
    </row>
    <row r="203">
      <c r="A203" s="2"/>
      <c r="E203" s="96"/>
      <c r="F203" s="27"/>
      <c r="G203" s="65"/>
      <c r="H203" s="65"/>
      <c r="I203" s="39"/>
      <c r="J203" s="39"/>
      <c r="K203" s="39"/>
      <c r="L203" s="39"/>
      <c r="M203" s="39"/>
      <c r="N203" s="39"/>
      <c r="O203" s="39"/>
      <c r="P203" s="39"/>
      <c r="Q203" s="39"/>
    </row>
    <row r="204">
      <c r="A204" s="2"/>
      <c r="E204" s="96"/>
      <c r="F204" s="27"/>
      <c r="G204" s="74"/>
      <c r="H204" s="65"/>
      <c r="I204" s="27"/>
      <c r="J204" s="5"/>
      <c r="R204" s="5"/>
    </row>
    <row r="205">
      <c r="A205" s="2"/>
      <c r="E205" s="96"/>
      <c r="F205" s="27"/>
      <c r="G205" s="65"/>
      <c r="H205" s="65"/>
      <c r="I205" s="39"/>
      <c r="J205" s="39"/>
      <c r="K205" s="39"/>
      <c r="L205" s="39"/>
      <c r="M205" s="39"/>
      <c r="N205" s="39"/>
      <c r="O205" s="39"/>
      <c r="P205" s="39"/>
      <c r="Q205" s="39"/>
    </row>
    <row r="206">
      <c r="A206" s="2"/>
      <c r="E206" s="96"/>
      <c r="F206" s="27"/>
      <c r="G206" s="65"/>
      <c r="H206" s="65"/>
      <c r="I206" s="39"/>
      <c r="J206" s="39"/>
      <c r="K206" s="39"/>
      <c r="L206" s="39"/>
      <c r="M206" s="39"/>
      <c r="N206" s="39"/>
      <c r="O206" s="39"/>
      <c r="P206" s="39"/>
      <c r="Q206" s="39"/>
    </row>
    <row r="207">
      <c r="A207" s="2"/>
      <c r="E207" s="96"/>
      <c r="F207" s="27"/>
      <c r="G207" s="65"/>
      <c r="H207" s="65"/>
      <c r="I207" s="39"/>
      <c r="J207" s="39"/>
      <c r="K207" s="39"/>
      <c r="L207" s="39"/>
      <c r="M207" s="39"/>
      <c r="N207" s="39"/>
      <c r="O207" s="39"/>
      <c r="P207" s="39"/>
      <c r="Q207" s="39"/>
    </row>
    <row r="208">
      <c r="A208" s="2"/>
      <c r="E208" s="96"/>
      <c r="F208" s="27"/>
      <c r="G208" s="65"/>
      <c r="H208" s="65"/>
      <c r="I208" s="39"/>
      <c r="J208" s="39"/>
      <c r="K208" s="39"/>
      <c r="L208" s="39"/>
      <c r="M208" s="39"/>
      <c r="N208" s="39"/>
      <c r="O208" s="39"/>
      <c r="P208" s="39"/>
      <c r="Q208" s="39"/>
    </row>
    <row r="209">
      <c r="A209" s="2"/>
      <c r="E209" s="96"/>
      <c r="F209" s="27"/>
      <c r="G209" s="71"/>
      <c r="H209" s="71"/>
      <c r="I209" s="39"/>
      <c r="J209" s="5"/>
      <c r="K209" s="5"/>
      <c r="L209" s="5"/>
      <c r="M209" s="5"/>
      <c r="N209" s="5"/>
      <c r="O209" s="5"/>
      <c r="P209" s="5"/>
      <c r="Q209" s="5"/>
    </row>
    <row r="210">
      <c r="A210" s="2"/>
      <c r="E210" s="96"/>
      <c r="F210" s="27"/>
      <c r="G210" s="71"/>
      <c r="H210" s="71"/>
      <c r="I210" s="8"/>
      <c r="J210" s="8"/>
      <c r="K210" s="8"/>
      <c r="L210" s="8"/>
      <c r="M210" s="8"/>
      <c r="N210" s="8"/>
      <c r="O210" s="8"/>
      <c r="P210" s="8"/>
      <c r="Q210" s="8"/>
    </row>
    <row r="211">
      <c r="A211" s="2"/>
      <c r="E211" s="96"/>
      <c r="F211" s="27"/>
      <c r="G211" s="74"/>
      <c r="H211" s="71"/>
      <c r="I211" s="39"/>
      <c r="J211" s="39"/>
      <c r="K211" s="39"/>
      <c r="L211" s="39"/>
      <c r="M211" s="39"/>
      <c r="N211" s="39"/>
      <c r="O211" s="39"/>
      <c r="P211" s="39"/>
      <c r="Q211" s="39"/>
    </row>
    <row r="212">
      <c r="A212" s="2"/>
      <c r="E212" s="96"/>
      <c r="F212" s="27"/>
      <c r="G212" s="94"/>
      <c r="H212" s="71"/>
      <c r="I212" s="39"/>
      <c r="J212" s="39"/>
      <c r="K212" s="39"/>
      <c r="L212" s="39"/>
      <c r="M212" s="39"/>
      <c r="N212" s="39"/>
      <c r="O212" s="39"/>
      <c r="P212" s="39"/>
      <c r="Q212" s="39"/>
    </row>
    <row r="213">
      <c r="A213" s="2"/>
      <c r="E213" s="97"/>
      <c r="F213" s="27"/>
      <c r="G213" s="71"/>
      <c r="H213" s="94"/>
      <c r="I213" s="40"/>
      <c r="J213" s="40"/>
      <c r="K213" s="40"/>
      <c r="L213" s="40"/>
      <c r="M213" s="40"/>
      <c r="N213" s="40"/>
      <c r="O213" s="40"/>
      <c r="P213" s="40"/>
      <c r="Q213" s="40"/>
    </row>
    <row r="214">
      <c r="A214" s="2"/>
      <c r="E214" s="97"/>
      <c r="F214" s="27"/>
      <c r="G214" s="71"/>
      <c r="H214" s="71"/>
      <c r="I214" s="8"/>
      <c r="J214" s="8"/>
      <c r="K214" s="8"/>
      <c r="L214" s="8"/>
      <c r="M214" s="8"/>
      <c r="N214" s="8"/>
      <c r="O214" s="8"/>
      <c r="P214" s="8"/>
      <c r="Q214" s="8"/>
    </row>
    <row r="215">
      <c r="A215" s="2"/>
      <c r="E215" s="74"/>
      <c r="G215" s="71"/>
      <c r="H215" s="71"/>
    </row>
    <row r="216">
      <c r="A216" s="2"/>
      <c r="E216" s="5"/>
      <c r="G216" s="71"/>
      <c r="H216" s="65"/>
    </row>
    <row r="217">
      <c r="A217" s="2"/>
      <c r="E217" s="62"/>
      <c r="F217" s="27"/>
      <c r="G217" s="71"/>
      <c r="H217" s="71"/>
    </row>
    <row r="218">
      <c r="A218" s="2"/>
      <c r="E218" s="98"/>
      <c r="G218" s="71"/>
      <c r="H218" s="65"/>
      <c r="I218" s="2"/>
      <c r="J218" s="2"/>
      <c r="K218" s="2"/>
      <c r="L218" s="2"/>
      <c r="M218" s="2"/>
      <c r="N218" s="2"/>
      <c r="O218" s="2"/>
      <c r="P218" s="2"/>
      <c r="Q218" s="2"/>
    </row>
    <row r="219">
      <c r="A219" s="2"/>
      <c r="E219" s="74"/>
      <c r="G219" s="94"/>
      <c r="Q219" s="2"/>
    </row>
    <row r="220">
      <c r="A220" s="2"/>
      <c r="E220" s="99"/>
      <c r="F220" s="64"/>
      <c r="G220" s="76"/>
      <c r="H220" s="5"/>
      <c r="Q220" s="2"/>
    </row>
    <row r="221">
      <c r="A221" s="2"/>
      <c r="E221" s="74"/>
      <c r="G221" s="65"/>
      <c r="Q221" s="2"/>
    </row>
    <row r="222">
      <c r="A222" s="2"/>
      <c r="G222" s="65"/>
      <c r="Q222" s="2"/>
    </row>
    <row r="223">
      <c r="A223" s="2"/>
      <c r="G223" s="71"/>
      <c r="H223" s="71"/>
      <c r="I223" s="8"/>
      <c r="J223" s="19"/>
      <c r="K223" s="19"/>
      <c r="L223" s="36"/>
      <c r="M223" s="5"/>
      <c r="Q223" s="2"/>
    </row>
    <row r="224">
      <c r="A224" s="2"/>
      <c r="E224" s="5"/>
      <c r="G224" s="65"/>
      <c r="Q224" s="2"/>
    </row>
    <row r="225">
      <c r="A225" s="2"/>
      <c r="E225" s="5"/>
      <c r="G225" s="65"/>
      <c r="I225" s="11"/>
      <c r="J225" s="11"/>
      <c r="K225" s="11"/>
      <c r="L225" s="11"/>
      <c r="Q225" s="2"/>
    </row>
    <row r="226">
      <c r="A226" s="2"/>
      <c r="E226" s="74"/>
      <c r="G226" s="65"/>
      <c r="H226" s="65"/>
      <c r="Q226" s="2"/>
    </row>
    <row r="227">
      <c r="A227" s="2"/>
      <c r="E227" s="5"/>
      <c r="G227" s="65"/>
      <c r="H227" s="65"/>
      <c r="Q227" s="2"/>
    </row>
    <row r="228">
      <c r="A228" s="2"/>
      <c r="E228" s="74"/>
      <c r="G228" s="65"/>
      <c r="H228" s="65"/>
      <c r="Q228" s="2"/>
    </row>
    <row r="229">
      <c r="A229" s="2"/>
      <c r="E229" s="74"/>
      <c r="F229" s="5"/>
      <c r="G229" s="72"/>
      <c r="H229" s="71"/>
      <c r="I229" s="8"/>
      <c r="J229" s="8"/>
      <c r="K229" s="8"/>
      <c r="L229" s="8"/>
      <c r="Q229" s="2"/>
    </row>
    <row r="230">
      <c r="A230" s="2"/>
      <c r="E230" s="74"/>
      <c r="G230" s="76"/>
      <c r="H230" s="94"/>
      <c r="I230" s="40"/>
      <c r="J230" s="8"/>
      <c r="Q230" s="2"/>
    </row>
    <row r="231">
      <c r="A231" s="2"/>
      <c r="E231" s="74"/>
      <c r="G231" s="95"/>
      <c r="Q231" s="2"/>
    </row>
    <row r="232">
      <c r="A232" s="2"/>
      <c r="E232" s="5"/>
      <c r="G232" s="95"/>
      <c r="Q232" s="2"/>
    </row>
    <row r="233">
      <c r="A233" s="2"/>
      <c r="G233" s="5"/>
      <c r="Q233" s="2"/>
    </row>
    <row r="234">
      <c r="A234" s="2"/>
      <c r="E234" s="74"/>
      <c r="F234" s="5"/>
      <c r="G234" s="5"/>
      <c r="I234" s="5"/>
      <c r="J234" s="5"/>
      <c r="K234" s="5"/>
      <c r="L234" s="5"/>
      <c r="M234" s="5"/>
      <c r="Q234" s="2"/>
    </row>
    <row r="235">
      <c r="A235" s="2"/>
      <c r="E235" s="74"/>
      <c r="G235" s="5"/>
      <c r="Q235" s="2"/>
    </row>
    <row r="236">
      <c r="A236" s="2"/>
      <c r="E236" s="65"/>
      <c r="G236" s="5"/>
      <c r="Q236" s="2"/>
    </row>
    <row r="237">
      <c r="A237" s="2"/>
      <c r="E237" s="65"/>
      <c r="G237" s="5"/>
      <c r="Q237" s="2"/>
    </row>
    <row r="238">
      <c r="A238" s="2"/>
      <c r="E238" s="65"/>
      <c r="G238" s="5"/>
      <c r="Q238" s="2"/>
    </row>
    <row r="239">
      <c r="A239" s="2"/>
      <c r="E239" s="65"/>
      <c r="G239" s="71"/>
      <c r="H239" s="71"/>
      <c r="I239" s="8"/>
      <c r="J239" s="8"/>
      <c r="K239" s="8"/>
      <c r="L239" s="8"/>
      <c r="Q239" s="2"/>
    </row>
    <row r="240">
      <c r="A240" s="2"/>
      <c r="E240" s="65"/>
      <c r="G240" s="71"/>
      <c r="H240" s="71"/>
      <c r="I240" s="8"/>
      <c r="J240" s="8"/>
      <c r="Q240" s="2"/>
    </row>
    <row r="241">
      <c r="A241" s="2"/>
      <c r="E241" s="65"/>
      <c r="G241" s="71"/>
      <c r="H241" s="65"/>
      <c r="I241" s="8"/>
      <c r="J241" s="8"/>
      <c r="Q241" s="2"/>
    </row>
    <row r="242">
      <c r="A242" s="2"/>
      <c r="E242" s="65"/>
      <c r="G242" s="71"/>
      <c r="H242" s="71"/>
      <c r="I242" s="8"/>
      <c r="J242" s="8"/>
      <c r="Q242" s="2"/>
    </row>
    <row r="243">
      <c r="A243" s="2"/>
      <c r="E243" s="65"/>
      <c r="G243" s="71"/>
      <c r="H243" s="71"/>
      <c r="I243" s="8"/>
      <c r="J243" s="8"/>
      <c r="K243" s="8"/>
      <c r="L243" s="8"/>
      <c r="Q243" s="2"/>
    </row>
    <row r="244">
      <c r="A244" s="2"/>
      <c r="E244" s="65"/>
      <c r="G244" s="76"/>
      <c r="H244" s="94"/>
      <c r="I244" s="8"/>
      <c r="J244" s="8"/>
      <c r="Q244" s="2"/>
    </row>
    <row r="245">
      <c r="A245" s="2"/>
      <c r="E245" s="65"/>
      <c r="G245" s="74"/>
      <c r="I245" s="8"/>
      <c r="J245" s="8"/>
      <c r="Q245" s="2"/>
    </row>
    <row r="246">
      <c r="A246" s="2"/>
      <c r="E246" s="65"/>
      <c r="Q246" s="2"/>
    </row>
    <row r="247">
      <c r="A247" s="2"/>
      <c r="E247" s="65"/>
      <c r="G247" s="65"/>
      <c r="Q247" s="2"/>
    </row>
    <row r="248">
      <c r="A248" s="2"/>
      <c r="E248" s="65"/>
      <c r="K248" s="53"/>
      <c r="M248" s="5"/>
      <c r="Q248" s="2"/>
    </row>
    <row r="249">
      <c r="A249" s="2"/>
      <c r="E249" s="65"/>
      <c r="G249" s="74"/>
      <c r="H249" s="5"/>
      <c r="K249" s="100"/>
      <c r="L249" s="101"/>
      <c r="M249" s="5"/>
      <c r="Q249" s="2"/>
    </row>
    <row r="250">
      <c r="A250" s="2"/>
      <c r="E250" s="65"/>
      <c r="G250" s="96"/>
      <c r="H250" s="27"/>
      <c r="K250" s="100"/>
      <c r="L250" s="101"/>
      <c r="M250" s="5"/>
      <c r="Q250" s="2"/>
    </row>
    <row r="251">
      <c r="A251" s="2"/>
      <c r="E251" s="65"/>
      <c r="G251" s="96"/>
      <c r="H251" s="27"/>
      <c r="K251" s="5"/>
      <c r="M251" s="5"/>
      <c r="Q251" s="2"/>
    </row>
    <row r="252">
      <c r="A252" s="2"/>
      <c r="E252" s="65"/>
      <c r="G252" s="96"/>
      <c r="H252" s="27"/>
      <c r="K252" s="5"/>
      <c r="M252" s="5"/>
      <c r="Q252" s="2"/>
    </row>
    <row r="253">
      <c r="A253" s="2"/>
      <c r="E253" s="65"/>
      <c r="G253" s="96"/>
      <c r="H253" s="27"/>
      <c r="K253" s="5"/>
      <c r="Q253" s="66"/>
    </row>
    <row r="254">
      <c r="A254" s="2"/>
      <c r="E254" s="65"/>
      <c r="G254" s="96"/>
      <c r="H254" s="27"/>
      <c r="K254" s="31"/>
      <c r="Q254" s="2"/>
    </row>
    <row r="255">
      <c r="A255" s="2"/>
      <c r="E255" s="65"/>
      <c r="G255" s="96"/>
      <c r="H255" s="27"/>
      <c r="K255" s="5"/>
      <c r="Q255" s="2"/>
    </row>
    <row r="256">
      <c r="A256" s="2"/>
      <c r="E256" s="65"/>
      <c r="G256" s="96"/>
      <c r="H256" s="27"/>
      <c r="K256" s="5"/>
      <c r="Q256" s="2"/>
    </row>
    <row r="257">
      <c r="A257" s="2"/>
      <c r="E257" s="65"/>
      <c r="G257" s="96"/>
      <c r="H257" s="27"/>
      <c r="K257" s="1"/>
      <c r="L257" s="2"/>
      <c r="U257" s="2"/>
    </row>
    <row r="258">
      <c r="A258" s="2"/>
      <c r="E258" s="65"/>
      <c r="G258" s="96"/>
      <c r="H258" s="27"/>
      <c r="K258" s="2"/>
      <c r="L258" s="3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2"/>
      <c r="E259" s="65"/>
      <c r="G259" s="96"/>
      <c r="H259" s="27"/>
      <c r="K259" s="2"/>
      <c r="L259" s="13"/>
      <c r="M259" s="2"/>
      <c r="T259" s="10"/>
      <c r="U259" s="2"/>
      <c r="Y259" s="10"/>
    </row>
    <row r="260">
      <c r="A260" s="2"/>
      <c r="E260" s="65"/>
      <c r="G260" s="96"/>
      <c r="H260" s="27"/>
      <c r="K260" s="11"/>
      <c r="L260" s="9"/>
      <c r="M260" s="2"/>
      <c r="N260" s="12"/>
      <c r="T260" s="10"/>
      <c r="U260" s="2"/>
    </row>
    <row r="261">
      <c r="A261" s="2"/>
      <c r="E261" s="65"/>
      <c r="G261" s="97"/>
      <c r="H261" s="27"/>
      <c r="K261" s="2"/>
      <c r="L261" s="9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E262" s="65"/>
      <c r="G262" s="97"/>
      <c r="H262" s="27"/>
      <c r="K262" s="2"/>
      <c r="L262" s="13"/>
      <c r="M262" s="11"/>
      <c r="N262" s="5"/>
      <c r="O262" s="5"/>
      <c r="P262" s="10"/>
      <c r="Q262" s="10"/>
      <c r="R262" s="10"/>
      <c r="S262" s="10"/>
      <c r="T262" s="10"/>
      <c r="U262" s="14"/>
      <c r="V262" s="14"/>
      <c r="W262" s="15"/>
      <c r="X262" s="15"/>
      <c r="Y262" s="15"/>
      <c r="Z262" s="15"/>
    </row>
    <row r="263">
      <c r="A263" s="2"/>
      <c r="E263" s="65"/>
      <c r="G263" s="74"/>
      <c r="K263" s="2"/>
      <c r="L263" s="9"/>
      <c r="M263" s="1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E264" s="65"/>
      <c r="G264" s="5"/>
      <c r="K264" s="2"/>
      <c r="L264" s="1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E265" s="65"/>
      <c r="G265" s="62"/>
      <c r="H265" s="27"/>
      <c r="J265" s="5"/>
      <c r="K265" s="2"/>
    </row>
    <row r="266">
      <c r="A266" s="2"/>
      <c r="E266" s="65"/>
      <c r="G266" s="89"/>
      <c r="K266" s="2"/>
      <c r="U266" s="10"/>
    </row>
    <row r="267">
      <c r="A267" s="2"/>
      <c r="E267" s="65"/>
      <c r="G267" s="74"/>
      <c r="K267" s="17"/>
      <c r="M267" s="18"/>
      <c r="N267" s="19"/>
      <c r="O267" s="18"/>
      <c r="P267" s="19"/>
      <c r="Q267" s="19"/>
      <c r="R267" s="19"/>
      <c r="S267" s="19"/>
      <c r="T267" s="19"/>
      <c r="U267" s="20"/>
      <c r="V267" s="20"/>
      <c r="W267" s="5"/>
      <c r="X267" s="2"/>
    </row>
    <row r="268">
      <c r="A268" s="2"/>
      <c r="E268" s="65"/>
      <c r="G268" s="99"/>
      <c r="H268" s="64"/>
      <c r="K268" s="2"/>
      <c r="M268" s="21"/>
      <c r="N268" s="21"/>
      <c r="O268" s="21"/>
      <c r="P268" s="21"/>
      <c r="Q268" s="10"/>
      <c r="R268" s="10"/>
      <c r="S268" s="10"/>
      <c r="T268" s="10"/>
      <c r="U268" s="10"/>
      <c r="V268" s="10"/>
      <c r="X268" s="11"/>
      <c r="Y268" s="2"/>
    </row>
    <row r="269">
      <c r="A269" s="2"/>
      <c r="E269" s="65"/>
      <c r="G269" s="74"/>
      <c r="K269" s="2"/>
      <c r="L269" s="2"/>
      <c r="X269" s="11"/>
      <c r="Y269" s="2"/>
    </row>
    <row r="270">
      <c r="A270" s="2"/>
      <c r="E270" s="65"/>
      <c r="K270" s="2"/>
      <c r="L270" s="2"/>
      <c r="X270" s="11"/>
      <c r="Y270" s="5"/>
    </row>
    <row r="271">
      <c r="A271" s="2"/>
      <c r="E271" s="65"/>
      <c r="K271" s="2"/>
      <c r="L271" s="11"/>
      <c r="U271" s="2"/>
      <c r="X271" s="5"/>
    </row>
    <row r="272">
      <c r="A272" s="2"/>
      <c r="E272" s="65"/>
      <c r="G272" s="5"/>
      <c r="K272" s="8"/>
      <c r="W272" s="2"/>
    </row>
    <row r="273">
      <c r="A273" s="2"/>
      <c r="E273" s="65"/>
      <c r="G273" s="5"/>
      <c r="K273" s="23"/>
      <c r="L273" s="24"/>
      <c r="U273" s="2"/>
    </row>
    <row r="274">
      <c r="A274" s="2"/>
      <c r="E274" s="65"/>
      <c r="G274" s="74"/>
      <c r="K274" s="11"/>
      <c r="L274" s="5"/>
      <c r="M274" s="5"/>
      <c r="U274" s="2"/>
    </row>
    <row r="275">
      <c r="A275" s="2"/>
      <c r="E275" s="65"/>
      <c r="G275" s="5"/>
      <c r="K275" s="17"/>
      <c r="N275" s="19"/>
      <c r="O275" s="18"/>
      <c r="P275" s="19"/>
      <c r="Q275" s="18"/>
      <c r="R275" s="19"/>
      <c r="S275" s="18"/>
      <c r="V275" s="18"/>
      <c r="W275" s="5"/>
      <c r="X275" s="5"/>
    </row>
    <row r="276">
      <c r="A276" s="2"/>
      <c r="E276" s="2"/>
      <c r="G276" s="11"/>
      <c r="K276" s="5"/>
      <c r="L276" s="5"/>
      <c r="M276" s="11"/>
      <c r="N276" s="11"/>
      <c r="O276" s="2"/>
      <c r="P276" s="2"/>
      <c r="Q276" s="2"/>
      <c r="R276" s="11"/>
      <c r="S276" s="2"/>
      <c r="U276" s="5"/>
      <c r="V276" s="2"/>
    </row>
    <row r="277">
      <c r="A277" s="2"/>
      <c r="E277" s="2"/>
      <c r="G277" s="11"/>
      <c r="K277" s="5"/>
      <c r="U277" s="5"/>
      <c r="V277" s="2"/>
    </row>
    <row r="278">
      <c r="A278" s="2"/>
      <c r="E278" s="2"/>
      <c r="G278" s="5"/>
      <c r="K278" s="11"/>
      <c r="M278" s="5"/>
      <c r="P278" s="5"/>
      <c r="U278" s="5"/>
      <c r="V278" s="2"/>
    </row>
    <row r="279">
      <c r="A279" s="2"/>
      <c r="E279" s="2"/>
      <c r="G279" s="11"/>
      <c r="K279" s="2"/>
      <c r="L279" s="2"/>
      <c r="U279" s="5"/>
      <c r="V279" s="11"/>
    </row>
    <row r="280">
      <c r="A280" s="2"/>
      <c r="E280" s="2"/>
      <c r="K280" s="2"/>
      <c r="L280" s="2"/>
      <c r="U280" s="5"/>
      <c r="V280" s="2"/>
    </row>
    <row r="281">
      <c r="A281" s="2"/>
      <c r="E281" s="2"/>
      <c r="K281" s="2"/>
      <c r="L281" s="2"/>
      <c r="U281" s="5"/>
      <c r="V281" s="2"/>
    </row>
    <row r="282">
      <c r="A282" s="2"/>
      <c r="E282" s="2"/>
      <c r="G282" s="11"/>
      <c r="H282" s="5"/>
      <c r="U282" s="5"/>
      <c r="V282" s="2"/>
    </row>
    <row r="283">
      <c r="A283" s="2"/>
      <c r="E283" s="2"/>
      <c r="G283" s="11"/>
      <c r="I283" s="5"/>
      <c r="K283" s="2"/>
      <c r="M283" s="2"/>
      <c r="N283" s="2"/>
      <c r="O283" s="2"/>
      <c r="P283" s="2"/>
      <c r="Q283" s="2"/>
      <c r="R283" s="2"/>
      <c r="S283" s="2"/>
      <c r="U283" s="31"/>
      <c r="W283" s="32"/>
      <c r="X283" s="33"/>
    </row>
    <row r="284">
      <c r="A284" s="2"/>
      <c r="E284" s="2"/>
      <c r="G284" s="2"/>
      <c r="I284" s="5"/>
      <c r="J284" s="5"/>
      <c r="K284" s="34"/>
      <c r="L284" s="24"/>
      <c r="U284" s="31"/>
      <c r="W284" s="33"/>
    </row>
    <row r="285">
      <c r="A285" s="2"/>
      <c r="E285" s="2"/>
      <c r="G285" s="2"/>
      <c r="K285" s="17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>
      <c r="A286" s="2"/>
      <c r="E286" s="2"/>
      <c r="G286" s="2"/>
      <c r="K286" s="1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2"/>
      <c r="E287" s="2"/>
      <c r="G287" s="2"/>
      <c r="K287" s="5"/>
    </row>
    <row r="288">
      <c r="A288" s="2"/>
      <c r="E288" s="2"/>
      <c r="G288" s="2"/>
      <c r="K288" s="5"/>
    </row>
    <row r="289">
      <c r="A289" s="2"/>
      <c r="E289" s="2"/>
      <c r="G289" s="2"/>
      <c r="K289" s="1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E290" s="2"/>
      <c r="G290" s="2"/>
      <c r="K290" s="2"/>
      <c r="L290" s="2"/>
      <c r="U290" s="2"/>
    </row>
    <row r="291">
      <c r="A291" s="2"/>
      <c r="E291" s="2"/>
      <c r="G291" s="2"/>
      <c r="K291" s="2"/>
      <c r="L291" s="2"/>
      <c r="U291" s="2"/>
    </row>
    <row r="292">
      <c r="A292" s="2"/>
      <c r="E292" s="2"/>
      <c r="G292" s="2"/>
      <c r="K292" s="2"/>
      <c r="L292" s="2"/>
      <c r="U292" s="2"/>
    </row>
    <row r="293">
      <c r="A293" s="2"/>
      <c r="E293" s="2"/>
      <c r="G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E294" s="2"/>
      <c r="G294" s="2"/>
      <c r="K294" s="23"/>
      <c r="L294" s="24"/>
      <c r="U294" s="2"/>
    </row>
    <row r="295">
      <c r="A295" s="2"/>
      <c r="E295" s="2"/>
      <c r="G295" s="2"/>
      <c r="K295" s="37"/>
      <c r="L295" s="5"/>
      <c r="U295" s="2"/>
    </row>
    <row r="296">
      <c r="A296" s="2"/>
      <c r="E296" s="2"/>
      <c r="G296" s="2"/>
      <c r="K296" s="2"/>
      <c r="U296" s="2"/>
    </row>
    <row r="297">
      <c r="A297" s="2"/>
      <c r="E297" s="2"/>
      <c r="G297" s="2"/>
      <c r="K297" s="2"/>
      <c r="U297" s="2"/>
    </row>
    <row r="298">
      <c r="A298" s="2"/>
      <c r="E298" s="2"/>
      <c r="G298" s="2"/>
      <c r="K298" s="2"/>
      <c r="U298" s="2"/>
    </row>
    <row r="299">
      <c r="A299" s="2"/>
      <c r="E299" s="2"/>
      <c r="G299" s="2"/>
      <c r="K299" s="2"/>
      <c r="U299" s="2"/>
    </row>
    <row r="300">
      <c r="A300" s="2"/>
      <c r="E300" s="2"/>
      <c r="G300" s="2"/>
      <c r="K300" s="17"/>
      <c r="L300" s="2"/>
      <c r="M300" s="2"/>
      <c r="N300" s="2"/>
      <c r="O300" s="2"/>
      <c r="P300" s="2"/>
      <c r="Q300" s="2"/>
      <c r="R300" s="5"/>
      <c r="S300" s="5"/>
      <c r="T300" s="5"/>
      <c r="U300" s="5"/>
    </row>
    <row r="301">
      <c r="A301" s="2"/>
      <c r="E301" s="2"/>
      <c r="G301" s="2"/>
      <c r="K301" s="2"/>
      <c r="L301" s="11"/>
      <c r="M301" s="27"/>
      <c r="N301" s="5"/>
      <c r="O301" s="5"/>
      <c r="P301" s="5"/>
      <c r="Q301" s="5"/>
      <c r="R301" s="5"/>
      <c r="S301" s="5"/>
      <c r="T301" s="5"/>
      <c r="U301" s="5"/>
    </row>
    <row r="302">
      <c r="A302" s="2"/>
      <c r="E302" s="2"/>
      <c r="G302" s="2"/>
      <c r="K302" s="2"/>
      <c r="L302" s="11"/>
      <c r="M302" s="38"/>
      <c r="N302" s="5"/>
      <c r="O302" s="5"/>
      <c r="P302" s="5"/>
      <c r="Q302" s="5"/>
      <c r="R302" s="5"/>
      <c r="S302" s="5"/>
      <c r="T302" s="5"/>
      <c r="U302" s="5"/>
    </row>
    <row r="303">
      <c r="A303" s="2"/>
      <c r="E303" s="2"/>
      <c r="G303" s="2"/>
      <c r="K303" s="2"/>
      <c r="L303" s="2"/>
      <c r="M303" s="39"/>
      <c r="N303" s="39"/>
      <c r="O303" s="39"/>
      <c r="P303" s="39"/>
      <c r="Q303" s="39"/>
      <c r="R303" s="39"/>
      <c r="S303" s="39"/>
      <c r="T303" s="39"/>
      <c r="U303" s="39"/>
    </row>
    <row r="304">
      <c r="A304" s="2"/>
      <c r="E304" s="2"/>
      <c r="G304" s="2"/>
      <c r="K304" s="2"/>
      <c r="L304" s="2"/>
      <c r="M304" s="27"/>
      <c r="V304" s="5"/>
    </row>
    <row r="305">
      <c r="A305" s="2"/>
      <c r="E305" s="2"/>
      <c r="G305" s="2"/>
      <c r="K305" s="2"/>
      <c r="L305" s="2"/>
      <c r="M305" s="39"/>
      <c r="N305" s="39"/>
      <c r="O305" s="39"/>
      <c r="P305" s="39"/>
      <c r="Q305" s="39"/>
      <c r="R305" s="39"/>
      <c r="S305" s="39"/>
      <c r="T305" s="39"/>
      <c r="U305" s="39"/>
    </row>
    <row r="306">
      <c r="A306" s="2"/>
      <c r="E306" s="2"/>
      <c r="O306" s="2"/>
    </row>
    <row r="307">
      <c r="A307" s="2"/>
      <c r="E307" s="2"/>
      <c r="O307" s="2"/>
    </row>
    <row r="308">
      <c r="A308" s="2"/>
      <c r="E308" s="2"/>
      <c r="O308" s="2"/>
    </row>
    <row r="309">
      <c r="A309" s="2"/>
      <c r="E309" s="2"/>
      <c r="O309" s="2"/>
    </row>
    <row r="310">
      <c r="A310" s="2"/>
      <c r="E310" s="2"/>
      <c r="O310" s="2"/>
    </row>
    <row r="311">
      <c r="A311" s="2"/>
      <c r="E311" s="2"/>
      <c r="O311" s="2"/>
    </row>
    <row r="312">
      <c r="A312" s="2"/>
      <c r="E312" s="2"/>
      <c r="O312" s="2"/>
    </row>
    <row r="313">
      <c r="A313" s="2"/>
      <c r="E313" s="2"/>
      <c r="O313" s="2"/>
    </row>
    <row r="314">
      <c r="A314" s="2"/>
      <c r="E314" s="2"/>
      <c r="O314" s="2"/>
    </row>
    <row r="315">
      <c r="A315" s="2"/>
      <c r="E315" s="2"/>
      <c r="O315" s="2"/>
    </row>
    <row r="316">
      <c r="A316" s="2"/>
      <c r="E316" s="2"/>
      <c r="O316" s="2"/>
    </row>
    <row r="317">
      <c r="A317" s="2"/>
      <c r="E317" s="2"/>
      <c r="O317" s="2"/>
    </row>
    <row r="318">
      <c r="A318" s="2"/>
      <c r="E318" s="2"/>
      <c r="O318" s="2"/>
    </row>
    <row r="319">
      <c r="A319" s="2"/>
      <c r="E319" s="2"/>
      <c r="O319" s="2"/>
    </row>
    <row r="320">
      <c r="A320" s="2"/>
      <c r="E320" s="2"/>
      <c r="O320" s="2"/>
    </row>
    <row r="321">
      <c r="A321" s="2"/>
      <c r="E321" s="2"/>
      <c r="O321" s="2"/>
    </row>
    <row r="322">
      <c r="A322" s="2"/>
      <c r="E322" s="2"/>
      <c r="O322" s="2"/>
    </row>
    <row r="323">
      <c r="A323" s="2"/>
      <c r="E323" s="2"/>
      <c r="O323" s="2"/>
    </row>
    <row r="324">
      <c r="A324" s="2"/>
      <c r="E324" s="2"/>
      <c r="O324" s="2"/>
    </row>
    <row r="325">
      <c r="A325" s="2"/>
      <c r="E325" s="2"/>
      <c r="O325" s="2"/>
    </row>
    <row r="326">
      <c r="A326" s="2"/>
      <c r="E326" s="2"/>
      <c r="O326" s="2"/>
    </row>
    <row r="327">
      <c r="A327" s="2"/>
      <c r="E327" s="2"/>
      <c r="O327" s="2"/>
    </row>
    <row r="328">
      <c r="A328" s="2"/>
      <c r="E328" s="2"/>
      <c r="O328" s="2"/>
    </row>
    <row r="329">
      <c r="A329" s="2"/>
      <c r="E329" s="2"/>
      <c r="O329" s="2"/>
    </row>
    <row r="330">
      <c r="A330" s="2"/>
      <c r="E330" s="2"/>
      <c r="O330" s="2"/>
    </row>
    <row r="331">
      <c r="A331" s="2"/>
      <c r="E331" s="2"/>
      <c r="O331" s="2"/>
    </row>
    <row r="332">
      <c r="A332" s="2"/>
      <c r="E332" s="2"/>
      <c r="O332" s="2"/>
    </row>
    <row r="333">
      <c r="A333" s="2"/>
      <c r="E333" s="2"/>
      <c r="O333" s="2"/>
    </row>
    <row r="334">
      <c r="A334" s="2"/>
      <c r="E334" s="2"/>
      <c r="O334" s="2"/>
    </row>
    <row r="335">
      <c r="A335" s="2"/>
      <c r="E335" s="2"/>
      <c r="O335" s="2"/>
    </row>
    <row r="336">
      <c r="A336" s="2"/>
      <c r="E336" s="2"/>
      <c r="O336" s="2"/>
    </row>
    <row r="337">
      <c r="A337" s="2"/>
      <c r="E337" s="2"/>
      <c r="O337" s="2"/>
    </row>
    <row r="338">
      <c r="A338" s="2"/>
      <c r="E338" s="2"/>
      <c r="O338" s="2"/>
    </row>
    <row r="339">
      <c r="A339" s="2"/>
      <c r="E339" s="2"/>
      <c r="O339" s="2"/>
    </row>
    <row r="340">
      <c r="A340" s="2"/>
      <c r="E340" s="2"/>
      <c r="O340" s="2"/>
    </row>
    <row r="341">
      <c r="A341" s="2"/>
      <c r="E341" s="2"/>
      <c r="O341" s="2"/>
    </row>
    <row r="342">
      <c r="A342" s="2"/>
      <c r="E342" s="2"/>
      <c r="O342" s="2"/>
    </row>
    <row r="343">
      <c r="A343" s="2"/>
      <c r="E343" s="2"/>
      <c r="O343" s="2"/>
    </row>
    <row r="344">
      <c r="A344" s="2"/>
      <c r="E344" s="2"/>
      <c r="O344" s="2"/>
    </row>
    <row r="345">
      <c r="A345" s="2"/>
      <c r="E345" s="2"/>
      <c r="O345" s="2"/>
    </row>
    <row r="346">
      <c r="A346" s="2"/>
      <c r="E346" s="2"/>
      <c r="O346" s="2"/>
    </row>
    <row r="347">
      <c r="A347" s="2"/>
      <c r="E347" s="2"/>
      <c r="O347" s="2"/>
    </row>
    <row r="348">
      <c r="A348" s="2"/>
      <c r="E348" s="2"/>
      <c r="O348" s="2"/>
    </row>
    <row r="349">
      <c r="A349" s="2"/>
      <c r="E349" s="2"/>
      <c r="O349" s="2"/>
    </row>
    <row r="350">
      <c r="A350" s="2"/>
      <c r="E350" s="2"/>
      <c r="O350" s="2"/>
    </row>
    <row r="351">
      <c r="A351" s="2"/>
      <c r="E351" s="2"/>
      <c r="O351" s="2"/>
    </row>
    <row r="352">
      <c r="A352" s="2"/>
      <c r="E352" s="2"/>
      <c r="O352" s="2"/>
    </row>
    <row r="353">
      <c r="A353" s="2"/>
      <c r="E353" s="2"/>
      <c r="O353" s="2"/>
    </row>
    <row r="354">
      <c r="A354" s="2"/>
      <c r="E354" s="2"/>
      <c r="O354" s="2"/>
    </row>
    <row r="355">
      <c r="A355" s="2"/>
      <c r="E355" s="2"/>
      <c r="O355" s="2"/>
    </row>
    <row r="356">
      <c r="A356" s="2"/>
      <c r="E356" s="2"/>
      <c r="O356" s="2"/>
    </row>
    <row r="357">
      <c r="A357" s="2"/>
      <c r="E357" s="2"/>
      <c r="O357" s="2"/>
    </row>
    <row r="358">
      <c r="A358" s="2"/>
      <c r="E358" s="2"/>
      <c r="O358" s="2"/>
    </row>
    <row r="359">
      <c r="A359" s="2"/>
      <c r="E359" s="2"/>
      <c r="O359" s="2"/>
    </row>
    <row r="360">
      <c r="A360" s="2"/>
      <c r="E360" s="2"/>
      <c r="O360" s="2"/>
    </row>
    <row r="361">
      <c r="A361" s="2"/>
      <c r="E361" s="2"/>
      <c r="O361" s="2"/>
    </row>
    <row r="362">
      <c r="A362" s="2"/>
      <c r="E362" s="2"/>
      <c r="O362" s="2"/>
    </row>
    <row r="363">
      <c r="A363" s="2"/>
      <c r="E363" s="2"/>
      <c r="O363" s="2"/>
    </row>
    <row r="364">
      <c r="A364" s="2"/>
      <c r="E364" s="2"/>
      <c r="O364" s="2"/>
    </row>
    <row r="365">
      <c r="A365" s="2"/>
      <c r="E365" s="2"/>
      <c r="O365" s="2"/>
    </row>
    <row r="366">
      <c r="A366" s="2"/>
      <c r="E366" s="2"/>
      <c r="O366" s="2"/>
    </row>
    <row r="367">
      <c r="A367" s="2"/>
      <c r="E367" s="2"/>
      <c r="O367" s="2"/>
    </row>
    <row r="368">
      <c r="A368" s="2"/>
      <c r="E368" s="2"/>
      <c r="O368" s="2"/>
    </row>
    <row r="369">
      <c r="A369" s="2"/>
      <c r="E369" s="2"/>
      <c r="O369" s="2"/>
    </row>
    <row r="370">
      <c r="A370" s="2"/>
      <c r="E370" s="2"/>
      <c r="O370" s="2"/>
    </row>
    <row r="371">
      <c r="A371" s="2"/>
      <c r="E371" s="2"/>
      <c r="O371" s="2"/>
    </row>
    <row r="372">
      <c r="A372" s="2"/>
      <c r="E372" s="2"/>
      <c r="O372" s="2"/>
    </row>
    <row r="373">
      <c r="A373" s="2"/>
      <c r="E373" s="2"/>
      <c r="O373" s="2"/>
    </row>
    <row r="374">
      <c r="A374" s="2"/>
      <c r="E374" s="2"/>
      <c r="O374" s="2"/>
    </row>
    <row r="375">
      <c r="A375" s="2"/>
      <c r="E375" s="2"/>
      <c r="O375" s="2"/>
    </row>
    <row r="376">
      <c r="A376" s="2"/>
      <c r="E376" s="2"/>
      <c r="O376" s="2"/>
    </row>
    <row r="377">
      <c r="A377" s="2"/>
      <c r="E377" s="2"/>
      <c r="O377" s="2"/>
    </row>
    <row r="378">
      <c r="A378" s="2"/>
      <c r="E378" s="2"/>
      <c r="O378" s="2"/>
    </row>
    <row r="379">
      <c r="A379" s="2"/>
      <c r="E379" s="2"/>
      <c r="O379" s="2"/>
    </row>
    <row r="380">
      <c r="A380" s="2"/>
      <c r="E380" s="2"/>
      <c r="O380" s="2"/>
    </row>
    <row r="381">
      <c r="A381" s="2"/>
      <c r="E381" s="2"/>
      <c r="O381" s="2"/>
    </row>
    <row r="382">
      <c r="A382" s="2"/>
      <c r="E382" s="2"/>
      <c r="O382" s="2"/>
    </row>
    <row r="383">
      <c r="A383" s="2"/>
      <c r="E383" s="2"/>
      <c r="O383" s="2"/>
    </row>
    <row r="384">
      <c r="A384" s="2"/>
      <c r="E384" s="2"/>
      <c r="O384" s="2"/>
    </row>
    <row r="385">
      <c r="A385" s="2"/>
      <c r="E385" s="2"/>
      <c r="O385" s="2"/>
    </row>
    <row r="386">
      <c r="A386" s="2"/>
      <c r="E386" s="2"/>
      <c r="O386" s="2"/>
    </row>
    <row r="387">
      <c r="A387" s="2"/>
      <c r="E387" s="2"/>
      <c r="O387" s="2"/>
    </row>
    <row r="388">
      <c r="A388" s="2"/>
      <c r="E388" s="2"/>
      <c r="O388" s="2"/>
    </row>
    <row r="389">
      <c r="A389" s="2"/>
      <c r="E389" s="2"/>
      <c r="O389" s="2"/>
    </row>
    <row r="390">
      <c r="A390" s="2"/>
      <c r="E390" s="2"/>
      <c r="O390" s="2"/>
    </row>
    <row r="391">
      <c r="A391" s="2"/>
      <c r="E391" s="2"/>
      <c r="O391" s="2"/>
    </row>
    <row r="392">
      <c r="A392" s="2"/>
      <c r="E392" s="2"/>
      <c r="O392" s="2"/>
    </row>
    <row r="393">
      <c r="A393" s="2"/>
      <c r="E393" s="2"/>
      <c r="O393" s="2"/>
    </row>
    <row r="394">
      <c r="A394" s="2"/>
      <c r="E394" s="2"/>
      <c r="O394" s="2"/>
    </row>
    <row r="395">
      <c r="A395" s="2"/>
      <c r="E395" s="2"/>
      <c r="O395" s="2"/>
    </row>
    <row r="396">
      <c r="A396" s="2"/>
      <c r="E396" s="2"/>
      <c r="O396" s="2"/>
    </row>
    <row r="397">
      <c r="A397" s="2"/>
      <c r="E397" s="2"/>
      <c r="O397" s="2"/>
    </row>
    <row r="398">
      <c r="A398" s="2"/>
      <c r="E398" s="2"/>
      <c r="O398" s="2"/>
    </row>
    <row r="399">
      <c r="A399" s="2"/>
      <c r="E399" s="2"/>
      <c r="O399" s="2"/>
    </row>
    <row r="400">
      <c r="A400" s="2"/>
      <c r="E400" s="2"/>
      <c r="O400" s="2"/>
    </row>
    <row r="401">
      <c r="A401" s="2"/>
      <c r="E401" s="2"/>
      <c r="O401" s="2"/>
    </row>
    <row r="402">
      <c r="A402" s="2"/>
      <c r="E402" s="2"/>
      <c r="O402" s="2"/>
    </row>
    <row r="403">
      <c r="A403" s="2"/>
      <c r="E403" s="2"/>
      <c r="O403" s="2"/>
    </row>
    <row r="404">
      <c r="A404" s="2"/>
      <c r="E404" s="2"/>
      <c r="O404" s="2"/>
    </row>
    <row r="405">
      <c r="A405" s="2"/>
      <c r="E405" s="2"/>
      <c r="O405" s="2"/>
    </row>
    <row r="406">
      <c r="A406" s="2"/>
      <c r="E406" s="2"/>
      <c r="O406" s="2"/>
    </row>
    <row r="407">
      <c r="A407" s="2"/>
      <c r="E407" s="2"/>
      <c r="O407" s="2"/>
    </row>
    <row r="408">
      <c r="A408" s="2"/>
      <c r="E408" s="2"/>
      <c r="O408" s="2"/>
    </row>
    <row r="409">
      <c r="A409" s="2"/>
      <c r="E409" s="2"/>
      <c r="O409" s="2"/>
    </row>
    <row r="410">
      <c r="A410" s="2"/>
      <c r="E410" s="2"/>
      <c r="O410" s="2"/>
    </row>
    <row r="411">
      <c r="A411" s="2"/>
      <c r="E411" s="2"/>
      <c r="O411" s="2"/>
    </row>
    <row r="412">
      <c r="A412" s="2"/>
      <c r="E412" s="2"/>
      <c r="O412" s="2"/>
    </row>
    <row r="413">
      <c r="A413" s="2"/>
      <c r="E413" s="2"/>
      <c r="O413" s="2"/>
    </row>
    <row r="414">
      <c r="A414" s="2"/>
      <c r="E414" s="2"/>
      <c r="O414" s="2"/>
    </row>
    <row r="415">
      <c r="A415" s="2"/>
      <c r="E415" s="2"/>
      <c r="O415" s="2"/>
    </row>
    <row r="416">
      <c r="A416" s="2"/>
      <c r="E416" s="2"/>
      <c r="O416" s="2"/>
    </row>
    <row r="417">
      <c r="A417" s="2"/>
      <c r="E417" s="2"/>
      <c r="O417" s="2"/>
    </row>
    <row r="418">
      <c r="A418" s="2"/>
      <c r="E418" s="2"/>
      <c r="O418" s="2"/>
    </row>
    <row r="419">
      <c r="A419" s="2"/>
      <c r="E419" s="2"/>
      <c r="O419" s="2"/>
    </row>
    <row r="420">
      <c r="A420" s="2"/>
      <c r="E420" s="2"/>
      <c r="O420" s="2"/>
    </row>
    <row r="421">
      <c r="A421" s="2"/>
      <c r="E421" s="2"/>
      <c r="O421" s="2"/>
    </row>
    <row r="422">
      <c r="A422" s="2"/>
      <c r="E422" s="2"/>
      <c r="O422" s="2"/>
    </row>
    <row r="423">
      <c r="A423" s="2"/>
      <c r="E423" s="2"/>
      <c r="O423" s="2"/>
    </row>
    <row r="424">
      <c r="A424" s="2"/>
      <c r="E424" s="2"/>
      <c r="O424" s="2"/>
    </row>
    <row r="425">
      <c r="A425" s="2"/>
      <c r="E425" s="2"/>
      <c r="O425" s="2"/>
    </row>
    <row r="426">
      <c r="A426" s="2"/>
      <c r="E426" s="2"/>
      <c r="O426" s="2"/>
    </row>
    <row r="427">
      <c r="A427" s="2"/>
      <c r="E427" s="2"/>
      <c r="O427" s="2"/>
    </row>
    <row r="428">
      <c r="A428" s="2"/>
      <c r="E428" s="2"/>
      <c r="O428" s="2"/>
    </row>
    <row r="429">
      <c r="A429" s="2"/>
      <c r="E429" s="2"/>
      <c r="O429" s="2"/>
    </row>
    <row r="430">
      <c r="A430" s="2"/>
      <c r="E430" s="2"/>
      <c r="O430" s="2"/>
    </row>
    <row r="431">
      <c r="A431" s="2"/>
      <c r="E431" s="2"/>
      <c r="O431" s="2"/>
    </row>
    <row r="432">
      <c r="A432" s="2"/>
      <c r="E432" s="2"/>
      <c r="O432" s="2"/>
    </row>
    <row r="433">
      <c r="A433" s="2"/>
      <c r="E433" s="2"/>
      <c r="O433" s="2"/>
    </row>
    <row r="434">
      <c r="A434" s="2"/>
      <c r="E434" s="2"/>
      <c r="O434" s="2"/>
    </row>
    <row r="435">
      <c r="A435" s="2"/>
      <c r="E435" s="2"/>
      <c r="O435" s="2"/>
    </row>
    <row r="436">
      <c r="A436" s="2"/>
      <c r="E436" s="2"/>
      <c r="O436" s="2"/>
    </row>
    <row r="437">
      <c r="A437" s="2"/>
      <c r="E437" s="2"/>
      <c r="O437" s="2"/>
    </row>
    <row r="438">
      <c r="A438" s="2"/>
      <c r="E438" s="2"/>
      <c r="O438" s="2"/>
    </row>
    <row r="439">
      <c r="A439" s="2"/>
      <c r="E439" s="2"/>
      <c r="O439" s="2"/>
    </row>
    <row r="440">
      <c r="A440" s="2"/>
      <c r="E440" s="2"/>
      <c r="O440" s="2"/>
    </row>
    <row r="441">
      <c r="A441" s="2"/>
      <c r="E441" s="2"/>
      <c r="O441" s="2"/>
    </row>
    <row r="442">
      <c r="A442" s="2"/>
      <c r="E442" s="2"/>
      <c r="O442" s="2"/>
    </row>
    <row r="443">
      <c r="A443" s="2"/>
      <c r="E443" s="2"/>
      <c r="O443" s="2"/>
    </row>
    <row r="444">
      <c r="A444" s="2"/>
      <c r="E444" s="2"/>
      <c r="O444" s="2"/>
    </row>
    <row r="445">
      <c r="A445" s="2"/>
      <c r="E445" s="2"/>
      <c r="O445" s="2"/>
    </row>
    <row r="446">
      <c r="A446" s="2"/>
      <c r="E446" s="2"/>
      <c r="O446" s="2"/>
    </row>
    <row r="447">
      <c r="A447" s="2"/>
      <c r="E447" s="2"/>
      <c r="O447" s="2"/>
    </row>
    <row r="448">
      <c r="A448" s="2"/>
      <c r="E448" s="2"/>
      <c r="O448" s="2"/>
    </row>
    <row r="449">
      <c r="A449" s="2"/>
      <c r="E449" s="2"/>
      <c r="O449" s="2"/>
    </row>
    <row r="450">
      <c r="A450" s="2"/>
      <c r="E450" s="2"/>
      <c r="O450" s="2"/>
    </row>
    <row r="451">
      <c r="A451" s="2"/>
      <c r="E451" s="2"/>
      <c r="O451" s="2"/>
    </row>
    <row r="452">
      <c r="A452" s="2"/>
      <c r="E452" s="2"/>
      <c r="O452" s="2"/>
    </row>
    <row r="453">
      <c r="A453" s="2"/>
      <c r="E453" s="2"/>
      <c r="O453" s="2"/>
    </row>
    <row r="454">
      <c r="A454" s="2"/>
      <c r="E454" s="2"/>
      <c r="O454" s="2"/>
    </row>
    <row r="455">
      <c r="A455" s="2"/>
      <c r="E455" s="2"/>
      <c r="O455" s="2"/>
    </row>
    <row r="456">
      <c r="A456" s="2"/>
      <c r="E456" s="2"/>
      <c r="O456" s="2"/>
    </row>
    <row r="457">
      <c r="A457" s="2"/>
      <c r="E457" s="2"/>
      <c r="O457" s="2"/>
    </row>
    <row r="458">
      <c r="A458" s="2"/>
      <c r="E458" s="2"/>
      <c r="O458" s="2"/>
    </row>
    <row r="459">
      <c r="A459" s="2"/>
      <c r="E459" s="2"/>
      <c r="O459" s="2"/>
    </row>
    <row r="460">
      <c r="A460" s="2"/>
      <c r="E460" s="2"/>
      <c r="O460" s="2"/>
    </row>
    <row r="461">
      <c r="A461" s="2"/>
      <c r="E461" s="2"/>
      <c r="O461" s="2"/>
    </row>
    <row r="462">
      <c r="A462" s="2"/>
      <c r="E462" s="2"/>
      <c r="O462" s="2"/>
    </row>
    <row r="463">
      <c r="A463" s="2"/>
      <c r="E463" s="2"/>
      <c r="O463" s="2"/>
    </row>
    <row r="464">
      <c r="A464" s="2"/>
      <c r="E464" s="2"/>
      <c r="O464" s="2"/>
    </row>
    <row r="465">
      <c r="A465" s="2"/>
      <c r="E465" s="2"/>
      <c r="O465" s="2"/>
    </row>
    <row r="466">
      <c r="A466" s="2"/>
      <c r="E466" s="2"/>
      <c r="O466" s="2"/>
    </row>
    <row r="467">
      <c r="A467" s="2"/>
      <c r="E467" s="2"/>
      <c r="O467" s="2"/>
    </row>
    <row r="468">
      <c r="A468" s="2"/>
      <c r="E468" s="2"/>
      <c r="O468" s="2"/>
    </row>
    <row r="469">
      <c r="A469" s="2"/>
      <c r="E469" s="2"/>
      <c r="O469" s="2"/>
    </row>
    <row r="470">
      <c r="A470" s="2"/>
      <c r="E470" s="2"/>
      <c r="O470" s="2"/>
    </row>
    <row r="471">
      <c r="A471" s="2"/>
      <c r="E471" s="2"/>
      <c r="O471" s="2"/>
    </row>
    <row r="472">
      <c r="A472" s="2"/>
      <c r="E472" s="2"/>
      <c r="O472" s="2"/>
    </row>
    <row r="473">
      <c r="A473" s="2"/>
      <c r="E473" s="2"/>
      <c r="O473" s="2"/>
    </row>
    <row r="474">
      <c r="A474" s="2"/>
      <c r="E474" s="2"/>
      <c r="O474" s="2"/>
    </row>
    <row r="475">
      <c r="A475" s="2"/>
      <c r="E475" s="2"/>
      <c r="O475" s="2"/>
    </row>
    <row r="476">
      <c r="A476" s="2"/>
      <c r="E476" s="2"/>
      <c r="O476" s="2"/>
    </row>
    <row r="477">
      <c r="A477" s="2"/>
      <c r="E477" s="2"/>
      <c r="O477" s="2"/>
    </row>
    <row r="478">
      <c r="A478" s="2"/>
      <c r="E478" s="2"/>
      <c r="O478" s="2"/>
    </row>
    <row r="479">
      <c r="A479" s="2"/>
      <c r="E479" s="2"/>
      <c r="O479" s="2"/>
    </row>
    <row r="480">
      <c r="A480" s="2"/>
      <c r="E480" s="2"/>
      <c r="O480" s="2"/>
    </row>
    <row r="481">
      <c r="A481" s="2"/>
      <c r="E481" s="2"/>
      <c r="O481" s="2"/>
    </row>
    <row r="482">
      <c r="A482" s="2"/>
      <c r="E482" s="2"/>
      <c r="O482" s="2"/>
    </row>
    <row r="483">
      <c r="A483" s="2"/>
      <c r="E483" s="2"/>
      <c r="O483" s="2"/>
    </row>
    <row r="484">
      <c r="A484" s="2"/>
      <c r="E484" s="2"/>
      <c r="O484" s="2"/>
    </row>
    <row r="485">
      <c r="A485" s="2"/>
      <c r="E485" s="2"/>
      <c r="O485" s="2"/>
    </row>
    <row r="486">
      <c r="A486" s="2"/>
      <c r="E486" s="2"/>
      <c r="O486" s="2"/>
    </row>
    <row r="487">
      <c r="A487" s="2"/>
      <c r="E487" s="2"/>
      <c r="O487" s="2"/>
    </row>
    <row r="488">
      <c r="A488" s="2"/>
      <c r="E488" s="2"/>
      <c r="O488" s="2"/>
    </row>
    <row r="489">
      <c r="A489" s="2"/>
      <c r="E489" s="2"/>
      <c r="O489" s="2"/>
    </row>
    <row r="490">
      <c r="A490" s="2"/>
      <c r="E490" s="2"/>
      <c r="O490" s="2"/>
    </row>
    <row r="491">
      <c r="A491" s="2"/>
      <c r="E491" s="2"/>
      <c r="O491" s="2"/>
    </row>
    <row r="492">
      <c r="A492" s="2"/>
      <c r="E492" s="2"/>
      <c r="O492" s="2"/>
    </row>
    <row r="493">
      <c r="A493" s="2"/>
      <c r="E493" s="2"/>
      <c r="O493" s="2"/>
    </row>
    <row r="494">
      <c r="A494" s="2"/>
      <c r="E494" s="2"/>
      <c r="O494" s="2"/>
    </row>
    <row r="495">
      <c r="A495" s="2"/>
      <c r="E495" s="2"/>
      <c r="O495" s="2"/>
    </row>
    <row r="496">
      <c r="A496" s="2"/>
      <c r="E496" s="2"/>
      <c r="O496" s="2"/>
    </row>
    <row r="497">
      <c r="A497" s="2"/>
      <c r="E497" s="2"/>
      <c r="O497" s="2"/>
    </row>
    <row r="498">
      <c r="A498" s="2"/>
      <c r="E498" s="2"/>
      <c r="O498" s="2"/>
    </row>
    <row r="499">
      <c r="A499" s="2"/>
      <c r="E499" s="2"/>
      <c r="O499" s="2"/>
    </row>
    <row r="500">
      <c r="A500" s="2"/>
      <c r="E500" s="2"/>
      <c r="O500" s="2"/>
    </row>
    <row r="501">
      <c r="A501" s="2"/>
      <c r="E501" s="2"/>
      <c r="O501" s="2"/>
    </row>
    <row r="502">
      <c r="A502" s="2"/>
      <c r="E502" s="2"/>
      <c r="O502" s="2"/>
    </row>
    <row r="503">
      <c r="A503" s="2"/>
      <c r="E503" s="2"/>
      <c r="O503" s="2"/>
    </row>
    <row r="504">
      <c r="A504" s="2"/>
      <c r="E504" s="2"/>
      <c r="O504" s="2"/>
    </row>
    <row r="505">
      <c r="A505" s="2"/>
      <c r="E505" s="2"/>
      <c r="O505" s="2"/>
    </row>
    <row r="506">
      <c r="A506" s="2"/>
      <c r="E506" s="2"/>
      <c r="O506" s="2"/>
    </row>
    <row r="507">
      <c r="A507" s="2"/>
      <c r="E507" s="2"/>
      <c r="O507" s="2"/>
    </row>
    <row r="508">
      <c r="A508" s="2"/>
      <c r="E508" s="2"/>
      <c r="O508" s="2"/>
    </row>
    <row r="509">
      <c r="A509" s="2"/>
      <c r="E509" s="2"/>
      <c r="O509" s="2"/>
    </row>
    <row r="510">
      <c r="A510" s="2"/>
      <c r="E510" s="2"/>
      <c r="O510" s="2"/>
    </row>
    <row r="511">
      <c r="A511" s="2"/>
      <c r="E511" s="2"/>
      <c r="O511" s="2"/>
    </row>
    <row r="512">
      <c r="A512" s="2"/>
      <c r="E512" s="2"/>
      <c r="O512" s="2"/>
    </row>
    <row r="513">
      <c r="A513" s="2"/>
      <c r="E513" s="2"/>
      <c r="O513" s="2"/>
    </row>
    <row r="514">
      <c r="A514" s="2"/>
      <c r="E514" s="2"/>
      <c r="O514" s="2"/>
    </row>
    <row r="515">
      <c r="A515" s="2"/>
      <c r="E515" s="2"/>
      <c r="O515" s="2"/>
    </row>
    <row r="516">
      <c r="A516" s="2"/>
      <c r="E516" s="2"/>
      <c r="O516" s="2"/>
    </row>
    <row r="517">
      <c r="A517" s="2"/>
      <c r="E517" s="2"/>
      <c r="O517" s="2"/>
    </row>
    <row r="518">
      <c r="A518" s="2"/>
      <c r="E518" s="2"/>
      <c r="O518" s="2"/>
    </row>
    <row r="519">
      <c r="A519" s="2"/>
      <c r="E519" s="2"/>
      <c r="O519" s="2"/>
    </row>
    <row r="520">
      <c r="A520" s="2"/>
      <c r="E520" s="2"/>
      <c r="O520" s="2"/>
    </row>
    <row r="521">
      <c r="A521" s="2"/>
      <c r="E521" s="2"/>
      <c r="O521" s="2"/>
    </row>
    <row r="522">
      <c r="A522" s="2"/>
      <c r="E522" s="2"/>
      <c r="O522" s="2"/>
    </row>
    <row r="523">
      <c r="A523" s="2"/>
      <c r="E523" s="2"/>
      <c r="O523" s="2"/>
    </row>
    <row r="524">
      <c r="A524" s="2"/>
      <c r="E524" s="2"/>
      <c r="O524" s="2"/>
    </row>
    <row r="525">
      <c r="A525" s="2"/>
      <c r="E525" s="2"/>
      <c r="O525" s="2"/>
    </row>
    <row r="526">
      <c r="A526" s="2"/>
      <c r="E526" s="2"/>
      <c r="O526" s="2"/>
    </row>
    <row r="527">
      <c r="A527" s="2"/>
      <c r="E527" s="2"/>
      <c r="O527" s="2"/>
    </row>
    <row r="528">
      <c r="A528" s="2"/>
      <c r="E528" s="2"/>
      <c r="O528" s="2"/>
    </row>
    <row r="529">
      <c r="A529" s="2"/>
      <c r="E529" s="2"/>
      <c r="O529" s="2"/>
    </row>
    <row r="530">
      <c r="A530" s="2"/>
      <c r="E530" s="2"/>
      <c r="O530" s="2"/>
    </row>
    <row r="531">
      <c r="A531" s="2"/>
      <c r="E531" s="2"/>
      <c r="O531" s="2"/>
    </row>
    <row r="532">
      <c r="A532" s="2"/>
      <c r="E532" s="2"/>
      <c r="O532" s="2"/>
    </row>
    <row r="533">
      <c r="A533" s="2"/>
      <c r="E533" s="2"/>
      <c r="O533" s="2"/>
    </row>
    <row r="534">
      <c r="A534" s="2"/>
      <c r="E534" s="2"/>
      <c r="O534" s="2"/>
    </row>
    <row r="535">
      <c r="A535" s="2"/>
      <c r="E535" s="2"/>
      <c r="O535" s="2"/>
    </row>
    <row r="536">
      <c r="A536" s="2"/>
      <c r="E536" s="2"/>
      <c r="O536" s="2"/>
    </row>
    <row r="537">
      <c r="A537" s="2"/>
      <c r="E537" s="2"/>
      <c r="O537" s="2"/>
    </row>
    <row r="538">
      <c r="A538" s="2"/>
      <c r="E538" s="2"/>
      <c r="O538" s="2"/>
    </row>
    <row r="539">
      <c r="A539" s="2"/>
      <c r="E539" s="2"/>
      <c r="O539" s="2"/>
    </row>
    <row r="540">
      <c r="A540" s="2"/>
      <c r="E540" s="2"/>
      <c r="O540" s="2"/>
    </row>
    <row r="541">
      <c r="A541" s="2"/>
      <c r="E541" s="2"/>
      <c r="O541" s="2"/>
    </row>
    <row r="542">
      <c r="A542" s="2"/>
      <c r="E542" s="2"/>
      <c r="O542" s="2"/>
    </row>
    <row r="543">
      <c r="A543" s="2"/>
      <c r="E543" s="2"/>
      <c r="O543" s="2"/>
    </row>
    <row r="544">
      <c r="A544" s="2"/>
      <c r="E544" s="2"/>
      <c r="O544" s="2"/>
    </row>
    <row r="545">
      <c r="A545" s="2"/>
      <c r="E545" s="2"/>
      <c r="O545" s="2"/>
    </row>
    <row r="546">
      <c r="A546" s="2"/>
      <c r="E546" s="2"/>
      <c r="O546" s="2"/>
    </row>
    <row r="547">
      <c r="A547" s="2"/>
      <c r="E547" s="2"/>
      <c r="O547" s="2"/>
    </row>
    <row r="548">
      <c r="A548" s="2"/>
      <c r="E548" s="2"/>
      <c r="O548" s="2"/>
    </row>
    <row r="549">
      <c r="A549" s="2"/>
      <c r="E549" s="2"/>
      <c r="O549" s="2"/>
    </row>
    <row r="550">
      <c r="A550" s="2"/>
      <c r="E550" s="2"/>
      <c r="O550" s="2"/>
    </row>
    <row r="551">
      <c r="A551" s="2"/>
      <c r="E551" s="2"/>
      <c r="O551" s="2"/>
    </row>
    <row r="552">
      <c r="A552" s="2"/>
      <c r="E552" s="2"/>
      <c r="O552" s="2"/>
    </row>
    <row r="553">
      <c r="A553" s="2"/>
      <c r="E553" s="2"/>
      <c r="O553" s="2"/>
    </row>
    <row r="554">
      <c r="A554" s="2"/>
      <c r="E554" s="2"/>
      <c r="O554" s="2"/>
    </row>
    <row r="555">
      <c r="A555" s="2"/>
      <c r="E555" s="2"/>
      <c r="O555" s="2"/>
    </row>
    <row r="556">
      <c r="A556" s="2"/>
      <c r="E556" s="2"/>
      <c r="O556" s="2"/>
    </row>
    <row r="557">
      <c r="A557" s="2"/>
      <c r="E557" s="2"/>
      <c r="O557" s="2"/>
    </row>
    <row r="558">
      <c r="A558" s="2"/>
      <c r="E558" s="2"/>
      <c r="O558" s="2"/>
    </row>
    <row r="559">
      <c r="A559" s="2"/>
      <c r="E559" s="2"/>
      <c r="O559" s="2"/>
    </row>
    <row r="560">
      <c r="A560" s="2"/>
      <c r="E560" s="2"/>
      <c r="O560" s="2"/>
    </row>
    <row r="561">
      <c r="A561" s="2"/>
      <c r="E561" s="2"/>
      <c r="O561" s="2"/>
    </row>
    <row r="562">
      <c r="A562" s="2"/>
      <c r="E562" s="2"/>
      <c r="O562" s="2"/>
    </row>
    <row r="563">
      <c r="A563" s="2"/>
      <c r="E563" s="2"/>
      <c r="O563" s="2"/>
    </row>
    <row r="564">
      <c r="A564" s="2"/>
      <c r="E564" s="2"/>
      <c r="O564" s="2"/>
    </row>
    <row r="565">
      <c r="A565" s="2"/>
      <c r="E565" s="2"/>
      <c r="O565" s="2"/>
    </row>
    <row r="566">
      <c r="A566" s="2"/>
      <c r="E566" s="2"/>
      <c r="O566" s="2"/>
    </row>
    <row r="567">
      <c r="A567" s="2"/>
      <c r="E567" s="2"/>
      <c r="O567" s="2"/>
    </row>
    <row r="568">
      <c r="A568" s="2"/>
      <c r="E568" s="2"/>
      <c r="O568" s="2"/>
    </row>
    <row r="569">
      <c r="A569" s="2"/>
      <c r="E569" s="2"/>
      <c r="O569" s="2"/>
    </row>
    <row r="570">
      <c r="A570" s="2"/>
      <c r="E570" s="2"/>
      <c r="O570" s="2"/>
    </row>
    <row r="571">
      <c r="A571" s="2"/>
      <c r="E571" s="2"/>
      <c r="O571" s="2"/>
    </row>
    <row r="572">
      <c r="A572" s="2"/>
      <c r="E572" s="2"/>
      <c r="O572" s="2"/>
    </row>
    <row r="573">
      <c r="A573" s="2"/>
      <c r="E573" s="2"/>
      <c r="O573" s="2"/>
    </row>
    <row r="574">
      <c r="A574" s="2"/>
      <c r="E574" s="2"/>
      <c r="O574" s="2"/>
    </row>
    <row r="575">
      <c r="A575" s="2"/>
      <c r="E575" s="2"/>
      <c r="O575" s="2"/>
    </row>
    <row r="576">
      <c r="A576" s="2"/>
      <c r="E576" s="2"/>
      <c r="O576" s="2"/>
    </row>
    <row r="577">
      <c r="A577" s="2"/>
      <c r="E577" s="2"/>
      <c r="O577" s="2"/>
    </row>
    <row r="578">
      <c r="A578" s="2"/>
      <c r="E578" s="2"/>
      <c r="O578" s="2"/>
    </row>
    <row r="579">
      <c r="A579" s="2"/>
      <c r="E579" s="2"/>
      <c r="O579" s="2"/>
    </row>
    <row r="580">
      <c r="A580" s="2"/>
      <c r="E580" s="2"/>
      <c r="O580" s="2"/>
    </row>
    <row r="581">
      <c r="A581" s="2"/>
      <c r="E581" s="2"/>
      <c r="O581" s="2"/>
    </row>
    <row r="582">
      <c r="A582" s="2"/>
      <c r="E582" s="2"/>
      <c r="O582" s="2"/>
    </row>
    <row r="583">
      <c r="A583" s="2"/>
      <c r="E583" s="2"/>
      <c r="O583" s="2"/>
    </row>
    <row r="584">
      <c r="A584" s="2"/>
      <c r="E584" s="2"/>
      <c r="O584" s="2"/>
    </row>
    <row r="585">
      <c r="A585" s="2"/>
      <c r="E585" s="2"/>
      <c r="O585" s="2"/>
    </row>
    <row r="586">
      <c r="A586" s="2"/>
      <c r="E586" s="2"/>
      <c r="O586" s="2"/>
    </row>
    <row r="587">
      <c r="A587" s="2"/>
      <c r="E587" s="2"/>
      <c r="O587" s="2"/>
    </row>
    <row r="588">
      <c r="A588" s="2"/>
      <c r="E588" s="2"/>
      <c r="O588" s="2"/>
    </row>
    <row r="589">
      <c r="A589" s="2"/>
      <c r="E589" s="2"/>
      <c r="O589" s="2"/>
    </row>
    <row r="590">
      <c r="A590" s="2"/>
      <c r="E590" s="2"/>
      <c r="O590" s="2"/>
    </row>
    <row r="591">
      <c r="A591" s="2"/>
      <c r="E591" s="2"/>
      <c r="O591" s="2"/>
    </row>
    <row r="592">
      <c r="A592" s="2"/>
      <c r="E592" s="2"/>
      <c r="O592" s="2"/>
    </row>
    <row r="593">
      <c r="A593" s="2"/>
      <c r="E593" s="2"/>
      <c r="O593" s="2"/>
    </row>
    <row r="594">
      <c r="A594" s="2"/>
      <c r="E594" s="2"/>
      <c r="O594" s="2"/>
    </row>
    <row r="595">
      <c r="A595" s="2"/>
      <c r="E595" s="2"/>
      <c r="O595" s="2"/>
    </row>
    <row r="596">
      <c r="A596" s="2"/>
      <c r="E596" s="2"/>
      <c r="O596" s="2"/>
    </row>
    <row r="597">
      <c r="A597" s="2"/>
      <c r="E597" s="2"/>
      <c r="O597" s="2"/>
    </row>
    <row r="598">
      <c r="A598" s="2"/>
      <c r="E598" s="2"/>
      <c r="O598" s="2"/>
    </row>
    <row r="599">
      <c r="A599" s="2"/>
      <c r="E599" s="2"/>
      <c r="O599" s="2"/>
    </row>
    <row r="600">
      <c r="A600" s="2"/>
      <c r="E600" s="2"/>
      <c r="O600" s="2"/>
    </row>
    <row r="601">
      <c r="A601" s="2"/>
      <c r="E601" s="2"/>
      <c r="O601" s="2"/>
    </row>
    <row r="602">
      <c r="A602" s="2"/>
      <c r="E602" s="2"/>
      <c r="O602" s="2"/>
    </row>
    <row r="603">
      <c r="A603" s="2"/>
      <c r="E603" s="2"/>
      <c r="O603" s="2"/>
    </row>
    <row r="604">
      <c r="A604" s="2"/>
      <c r="E604" s="2"/>
      <c r="O604" s="2"/>
    </row>
    <row r="605">
      <c r="A605" s="2"/>
      <c r="E605" s="2"/>
      <c r="O605" s="2"/>
    </row>
    <row r="606">
      <c r="A606" s="2"/>
      <c r="E606" s="2"/>
      <c r="O606" s="2"/>
    </row>
    <row r="607">
      <c r="A607" s="2"/>
      <c r="E607" s="2"/>
      <c r="O607" s="2"/>
    </row>
    <row r="608">
      <c r="A608" s="2"/>
      <c r="E608" s="2"/>
      <c r="O608" s="2"/>
    </row>
    <row r="609">
      <c r="A609" s="2"/>
      <c r="E609" s="2"/>
      <c r="O609" s="2"/>
    </row>
    <row r="610">
      <c r="A610" s="2"/>
      <c r="E610" s="2"/>
      <c r="O610" s="2"/>
    </row>
    <row r="611">
      <c r="A611" s="2"/>
      <c r="E611" s="2"/>
      <c r="O611" s="2"/>
    </row>
    <row r="612">
      <c r="A612" s="2"/>
      <c r="E612" s="2"/>
      <c r="O612" s="2"/>
    </row>
    <row r="613">
      <c r="A613" s="2"/>
      <c r="E613" s="2"/>
      <c r="O613" s="2"/>
    </row>
    <row r="614">
      <c r="A614" s="2"/>
      <c r="E614" s="2"/>
      <c r="O614" s="2"/>
    </row>
    <row r="615">
      <c r="A615" s="2"/>
      <c r="E615" s="2"/>
      <c r="O615" s="2"/>
    </row>
    <row r="616">
      <c r="A616" s="2"/>
      <c r="E616" s="2"/>
      <c r="O616" s="2"/>
    </row>
    <row r="617">
      <c r="A617" s="2"/>
      <c r="E617" s="2"/>
      <c r="O617" s="2"/>
    </row>
    <row r="618">
      <c r="A618" s="2"/>
      <c r="E618" s="2"/>
      <c r="O618" s="2"/>
    </row>
    <row r="619">
      <c r="A619" s="2"/>
      <c r="E619" s="2"/>
      <c r="O619" s="2"/>
    </row>
    <row r="620">
      <c r="A620" s="2"/>
      <c r="E620" s="2"/>
      <c r="O620" s="2"/>
    </row>
    <row r="621">
      <c r="A621" s="2"/>
      <c r="E621" s="2"/>
      <c r="O621" s="2"/>
    </row>
    <row r="622">
      <c r="A622" s="2"/>
      <c r="E622" s="2"/>
      <c r="O622" s="2"/>
    </row>
    <row r="623">
      <c r="A623" s="2"/>
      <c r="E623" s="2"/>
      <c r="O623" s="2"/>
    </row>
    <row r="624">
      <c r="A624" s="2"/>
      <c r="E624" s="2"/>
      <c r="O624" s="2"/>
    </row>
    <row r="625">
      <c r="A625" s="2"/>
      <c r="E625" s="2"/>
      <c r="O625" s="2"/>
    </row>
    <row r="626">
      <c r="A626" s="2"/>
      <c r="E626" s="2"/>
      <c r="O626" s="2"/>
    </row>
    <row r="627">
      <c r="A627" s="2"/>
      <c r="E627" s="2"/>
      <c r="O627" s="2"/>
    </row>
    <row r="628">
      <c r="A628" s="2"/>
      <c r="E628" s="2"/>
      <c r="O628" s="2"/>
    </row>
    <row r="629">
      <c r="A629" s="2"/>
      <c r="E629" s="2"/>
      <c r="O629" s="2"/>
    </row>
    <row r="630">
      <c r="A630" s="2"/>
      <c r="E630" s="2"/>
      <c r="O630" s="2"/>
    </row>
    <row r="631">
      <c r="A631" s="2"/>
      <c r="E631" s="2"/>
      <c r="O631" s="2"/>
    </row>
    <row r="632">
      <c r="A632" s="2"/>
      <c r="E632" s="2"/>
      <c r="O632" s="2"/>
    </row>
    <row r="633">
      <c r="A633" s="2"/>
      <c r="E633" s="2"/>
      <c r="O633" s="2"/>
    </row>
    <row r="634">
      <c r="A634" s="2"/>
      <c r="E634" s="2"/>
      <c r="O634" s="2"/>
    </row>
    <row r="635">
      <c r="A635" s="2"/>
      <c r="E635" s="2"/>
      <c r="O635" s="2"/>
    </row>
    <row r="636">
      <c r="A636" s="2"/>
      <c r="E636" s="2"/>
      <c r="O636" s="2"/>
    </row>
    <row r="637">
      <c r="A637" s="2"/>
      <c r="E637" s="2"/>
      <c r="O637" s="2"/>
    </row>
    <row r="638">
      <c r="A638" s="2"/>
      <c r="E638" s="2"/>
      <c r="O638" s="2"/>
    </row>
    <row r="639">
      <c r="A639" s="2"/>
      <c r="E639" s="2"/>
      <c r="O639" s="2"/>
    </row>
    <row r="640">
      <c r="A640" s="2"/>
      <c r="E640" s="2"/>
      <c r="O640" s="2"/>
    </row>
    <row r="641">
      <c r="A641" s="2"/>
      <c r="E641" s="2"/>
      <c r="O641" s="2"/>
    </row>
    <row r="642">
      <c r="A642" s="2"/>
      <c r="E642" s="2"/>
      <c r="O642" s="2"/>
    </row>
    <row r="643">
      <c r="A643" s="2"/>
      <c r="E643" s="2"/>
      <c r="O643" s="2"/>
    </row>
    <row r="644">
      <c r="A644" s="2"/>
      <c r="E644" s="2"/>
      <c r="O644" s="2"/>
    </row>
    <row r="645">
      <c r="A645" s="2"/>
      <c r="E645" s="2"/>
      <c r="O645" s="2"/>
    </row>
    <row r="646">
      <c r="A646" s="2"/>
      <c r="E646" s="2"/>
      <c r="O646" s="2"/>
    </row>
    <row r="647">
      <c r="A647" s="2"/>
      <c r="E647" s="2"/>
      <c r="O647" s="2"/>
    </row>
    <row r="648">
      <c r="A648" s="2"/>
      <c r="E648" s="2"/>
      <c r="O648" s="2"/>
    </row>
    <row r="649">
      <c r="A649" s="2"/>
      <c r="E649" s="2"/>
      <c r="O649" s="2"/>
    </row>
    <row r="650">
      <c r="A650" s="2"/>
      <c r="E650" s="2"/>
      <c r="O650" s="2"/>
    </row>
    <row r="651">
      <c r="A651" s="2"/>
      <c r="E651" s="2"/>
      <c r="O651" s="2"/>
    </row>
    <row r="652">
      <c r="A652" s="2"/>
      <c r="E652" s="2"/>
      <c r="O652" s="2"/>
    </row>
    <row r="653">
      <c r="A653" s="2"/>
      <c r="E653" s="2"/>
      <c r="O653" s="2"/>
    </row>
    <row r="654">
      <c r="A654" s="2"/>
      <c r="E654" s="2"/>
      <c r="O654" s="2"/>
    </row>
    <row r="655">
      <c r="A655" s="2"/>
      <c r="E655" s="2"/>
      <c r="O655" s="2"/>
    </row>
    <row r="656">
      <c r="A656" s="2"/>
      <c r="E656" s="2"/>
      <c r="O656" s="2"/>
    </row>
    <row r="657">
      <c r="A657" s="2"/>
      <c r="E657" s="2"/>
      <c r="O657" s="2"/>
    </row>
    <row r="658">
      <c r="A658" s="2"/>
      <c r="E658" s="2"/>
      <c r="O658" s="2"/>
    </row>
    <row r="659">
      <c r="A659" s="2"/>
      <c r="E659" s="2"/>
      <c r="O659" s="2"/>
    </row>
    <row r="660">
      <c r="A660" s="2"/>
      <c r="E660" s="2"/>
      <c r="O660" s="2"/>
    </row>
    <row r="661">
      <c r="A661" s="2"/>
      <c r="E661" s="2"/>
      <c r="O661" s="2"/>
    </row>
    <row r="662">
      <c r="A662" s="2"/>
      <c r="E662" s="2"/>
      <c r="O662" s="2"/>
    </row>
    <row r="663">
      <c r="A663" s="2"/>
      <c r="E663" s="2"/>
      <c r="O663" s="2"/>
    </row>
    <row r="664">
      <c r="A664" s="2"/>
      <c r="E664" s="2"/>
      <c r="O664" s="2"/>
    </row>
    <row r="665">
      <c r="A665" s="2"/>
      <c r="E665" s="2"/>
      <c r="O665" s="2"/>
    </row>
    <row r="666">
      <c r="A666" s="2"/>
      <c r="E666" s="2"/>
      <c r="O666" s="2"/>
    </row>
    <row r="667">
      <c r="A667" s="2"/>
      <c r="E667" s="2"/>
      <c r="O667" s="2"/>
    </row>
    <row r="668">
      <c r="A668" s="2"/>
      <c r="E668" s="2"/>
      <c r="O668" s="2"/>
    </row>
    <row r="669">
      <c r="A669" s="2"/>
      <c r="E669" s="2"/>
      <c r="O669" s="2"/>
    </row>
    <row r="670">
      <c r="A670" s="2"/>
      <c r="E670" s="2"/>
      <c r="O670" s="2"/>
    </row>
    <row r="671">
      <c r="A671" s="2"/>
      <c r="E671" s="2"/>
      <c r="O671" s="2"/>
    </row>
    <row r="672">
      <c r="A672" s="2"/>
      <c r="E672" s="2"/>
      <c r="O672" s="2"/>
    </row>
    <row r="673">
      <c r="A673" s="2"/>
      <c r="E673" s="2"/>
      <c r="O673" s="2"/>
    </row>
    <row r="674">
      <c r="A674" s="2"/>
      <c r="E674" s="2"/>
      <c r="O674" s="2"/>
    </row>
    <row r="675">
      <c r="A675" s="2"/>
      <c r="E675" s="2"/>
      <c r="O675" s="2"/>
    </row>
    <row r="676">
      <c r="A676" s="2"/>
      <c r="E676" s="2"/>
      <c r="O676" s="2"/>
    </row>
    <row r="677">
      <c r="A677" s="2"/>
      <c r="E677" s="2"/>
      <c r="O677" s="2"/>
    </row>
    <row r="678">
      <c r="A678" s="2"/>
      <c r="E678" s="2"/>
      <c r="O678" s="2"/>
    </row>
    <row r="679">
      <c r="A679" s="2"/>
      <c r="E679" s="2"/>
      <c r="O679" s="2"/>
    </row>
    <row r="680">
      <c r="A680" s="2"/>
      <c r="E680" s="2"/>
      <c r="O680" s="2"/>
    </row>
    <row r="681">
      <c r="A681" s="2"/>
      <c r="E681" s="2"/>
      <c r="O681" s="2"/>
    </row>
    <row r="682">
      <c r="A682" s="2"/>
      <c r="E682" s="2"/>
      <c r="O682" s="2"/>
    </row>
    <row r="683">
      <c r="A683" s="2"/>
      <c r="E683" s="2"/>
      <c r="O683" s="2"/>
    </row>
    <row r="684">
      <c r="A684" s="2"/>
      <c r="E684" s="2"/>
      <c r="O684" s="2"/>
    </row>
    <row r="685">
      <c r="A685" s="2"/>
      <c r="E685" s="2"/>
      <c r="O685" s="2"/>
    </row>
    <row r="686">
      <c r="A686" s="2"/>
      <c r="E686" s="2"/>
      <c r="O686" s="2"/>
    </row>
    <row r="687">
      <c r="A687" s="2"/>
      <c r="E687" s="2"/>
      <c r="O687" s="2"/>
    </row>
    <row r="688">
      <c r="A688" s="2"/>
      <c r="E688" s="2"/>
      <c r="O688" s="2"/>
    </row>
    <row r="689">
      <c r="A689" s="2"/>
      <c r="E689" s="2"/>
      <c r="O689" s="2"/>
    </row>
    <row r="690">
      <c r="A690" s="2"/>
      <c r="E690" s="2"/>
      <c r="O690" s="2"/>
    </row>
    <row r="691">
      <c r="A691" s="2"/>
      <c r="E691" s="2"/>
      <c r="O691" s="2"/>
    </row>
    <row r="692">
      <c r="A692" s="2"/>
      <c r="E692" s="2"/>
      <c r="O692" s="2"/>
    </row>
    <row r="693">
      <c r="A693" s="2"/>
      <c r="E693" s="2"/>
      <c r="O693" s="2"/>
    </row>
    <row r="694">
      <c r="A694" s="2"/>
      <c r="E694" s="2"/>
      <c r="O694" s="2"/>
    </row>
    <row r="695">
      <c r="A695" s="2"/>
      <c r="E695" s="2"/>
      <c r="O695" s="2"/>
    </row>
    <row r="696">
      <c r="A696" s="2"/>
      <c r="E696" s="2"/>
      <c r="O696" s="2"/>
    </row>
    <row r="697">
      <c r="A697" s="2"/>
      <c r="E697" s="2"/>
      <c r="O697" s="2"/>
    </row>
    <row r="698">
      <c r="A698" s="2"/>
      <c r="E698" s="2"/>
      <c r="O698" s="2"/>
    </row>
    <row r="699">
      <c r="A699" s="2"/>
      <c r="E699" s="2"/>
      <c r="O699" s="2"/>
    </row>
    <row r="700">
      <c r="A700" s="2"/>
      <c r="E700" s="2"/>
      <c r="O700" s="2"/>
    </row>
    <row r="701">
      <c r="A701" s="2"/>
      <c r="E701" s="2"/>
      <c r="O701" s="2"/>
    </row>
    <row r="702">
      <c r="A702" s="2"/>
      <c r="E702" s="2"/>
      <c r="O702" s="2"/>
    </row>
    <row r="703">
      <c r="A703" s="2"/>
      <c r="E703" s="2"/>
      <c r="O703" s="2"/>
    </row>
    <row r="704">
      <c r="A704" s="2"/>
      <c r="E704" s="2"/>
      <c r="O704" s="2"/>
    </row>
    <row r="705">
      <c r="A705" s="2"/>
      <c r="E705" s="2"/>
      <c r="O705" s="2"/>
    </row>
    <row r="706">
      <c r="A706" s="2"/>
      <c r="E706" s="2"/>
      <c r="O706" s="2"/>
    </row>
    <row r="707">
      <c r="A707" s="2"/>
      <c r="E707" s="2"/>
      <c r="O707" s="2"/>
    </row>
    <row r="708">
      <c r="A708" s="2"/>
      <c r="E708" s="2"/>
      <c r="O708" s="2"/>
    </row>
    <row r="709">
      <c r="A709" s="2"/>
      <c r="E709" s="2"/>
      <c r="O709" s="2"/>
    </row>
    <row r="710">
      <c r="A710" s="2"/>
      <c r="E710" s="2"/>
      <c r="O710" s="2"/>
    </row>
    <row r="711">
      <c r="A711" s="2"/>
      <c r="E711" s="2"/>
      <c r="O711" s="2"/>
    </row>
    <row r="712">
      <c r="A712" s="2"/>
      <c r="E712" s="2"/>
      <c r="O712" s="2"/>
    </row>
    <row r="713">
      <c r="A713" s="2"/>
      <c r="E713" s="2"/>
      <c r="O713" s="2"/>
    </row>
    <row r="714">
      <c r="A714" s="2"/>
      <c r="E714" s="2"/>
      <c r="O714" s="2"/>
    </row>
    <row r="715">
      <c r="A715" s="2"/>
      <c r="E715" s="2"/>
      <c r="O715" s="2"/>
    </row>
    <row r="716">
      <c r="A716" s="2"/>
      <c r="E716" s="2"/>
      <c r="O716" s="2"/>
    </row>
    <row r="717">
      <c r="A717" s="2"/>
      <c r="E717" s="2"/>
      <c r="O717" s="2"/>
    </row>
    <row r="718">
      <c r="A718" s="2"/>
      <c r="E718" s="2"/>
      <c r="O718" s="2"/>
    </row>
    <row r="719">
      <c r="A719" s="2"/>
      <c r="E719" s="2"/>
      <c r="O719" s="2"/>
    </row>
    <row r="720">
      <c r="A720" s="2"/>
      <c r="E720" s="2"/>
      <c r="O720" s="2"/>
    </row>
    <row r="721">
      <c r="A721" s="2"/>
      <c r="E721" s="2"/>
      <c r="O721" s="2"/>
    </row>
    <row r="722">
      <c r="A722" s="2"/>
      <c r="E722" s="2"/>
      <c r="O722" s="2"/>
    </row>
    <row r="723">
      <c r="A723" s="2"/>
      <c r="E723" s="2"/>
      <c r="O723" s="2"/>
    </row>
    <row r="724">
      <c r="A724" s="2"/>
      <c r="E724" s="2"/>
      <c r="O724" s="2"/>
    </row>
    <row r="725">
      <c r="A725" s="2"/>
      <c r="E725" s="2"/>
      <c r="O725" s="2"/>
    </row>
    <row r="726">
      <c r="A726" s="2"/>
      <c r="E726" s="2"/>
      <c r="O726" s="2"/>
    </row>
    <row r="727">
      <c r="A727" s="2"/>
      <c r="E727" s="2"/>
      <c r="O727" s="2"/>
    </row>
    <row r="728">
      <c r="A728" s="2"/>
      <c r="E728" s="2"/>
      <c r="O728" s="2"/>
    </row>
    <row r="729">
      <c r="A729" s="2"/>
      <c r="E729" s="2"/>
      <c r="O729" s="2"/>
    </row>
    <row r="730">
      <c r="A730" s="2"/>
      <c r="E730" s="2"/>
      <c r="O730" s="2"/>
    </row>
    <row r="731">
      <c r="A731" s="2"/>
      <c r="E731" s="2"/>
      <c r="O731" s="2"/>
    </row>
    <row r="732">
      <c r="A732" s="2"/>
      <c r="E732" s="2"/>
      <c r="O732" s="2"/>
    </row>
    <row r="733">
      <c r="A733" s="2"/>
      <c r="E733" s="2"/>
      <c r="O733" s="2"/>
    </row>
    <row r="734">
      <c r="A734" s="2"/>
      <c r="E734" s="2"/>
      <c r="O734" s="2"/>
    </row>
    <row r="735">
      <c r="A735" s="2"/>
      <c r="E735" s="2"/>
      <c r="O735" s="2"/>
    </row>
    <row r="736">
      <c r="A736" s="2"/>
      <c r="E736" s="2"/>
      <c r="O736" s="2"/>
    </row>
    <row r="737">
      <c r="A737" s="2"/>
      <c r="E737" s="2"/>
      <c r="O737" s="2"/>
    </row>
    <row r="738">
      <c r="A738" s="2"/>
      <c r="E738" s="2"/>
      <c r="O738" s="2"/>
    </row>
    <row r="739">
      <c r="A739" s="2"/>
      <c r="E739" s="2"/>
      <c r="O739" s="2"/>
    </row>
    <row r="740">
      <c r="A740" s="2"/>
      <c r="E740" s="2"/>
      <c r="O740" s="2"/>
    </row>
    <row r="741">
      <c r="A741" s="2"/>
      <c r="E741" s="2"/>
      <c r="O741" s="2"/>
    </row>
    <row r="742">
      <c r="A742" s="2"/>
      <c r="E742" s="2"/>
      <c r="O742" s="2"/>
    </row>
    <row r="743">
      <c r="A743" s="2"/>
      <c r="E743" s="2"/>
      <c r="O743" s="2"/>
    </row>
    <row r="744">
      <c r="A744" s="2"/>
      <c r="E744" s="2"/>
      <c r="O744" s="2"/>
    </row>
    <row r="745">
      <c r="A745" s="2"/>
      <c r="E745" s="2"/>
      <c r="O745" s="2"/>
    </row>
    <row r="746">
      <c r="A746" s="2"/>
      <c r="E746" s="2"/>
      <c r="O746" s="2"/>
    </row>
    <row r="747">
      <c r="A747" s="2"/>
      <c r="E747" s="2"/>
      <c r="O747" s="2"/>
    </row>
    <row r="748">
      <c r="A748" s="2"/>
      <c r="E748" s="2"/>
      <c r="O748" s="2"/>
    </row>
    <row r="749">
      <c r="A749" s="2"/>
      <c r="E749" s="2"/>
      <c r="O749" s="2"/>
    </row>
    <row r="750">
      <c r="A750" s="2"/>
      <c r="E750" s="2"/>
      <c r="O750" s="2"/>
    </row>
    <row r="751">
      <c r="A751" s="2"/>
      <c r="E751" s="2"/>
      <c r="O751" s="2"/>
    </row>
    <row r="752">
      <c r="A752" s="2"/>
      <c r="E752" s="2"/>
      <c r="O752" s="2"/>
    </row>
    <row r="753">
      <c r="A753" s="2"/>
      <c r="E753" s="2"/>
      <c r="O753" s="2"/>
    </row>
    <row r="754">
      <c r="A754" s="2"/>
      <c r="E754" s="2"/>
      <c r="O754" s="2"/>
    </row>
    <row r="755">
      <c r="A755" s="2"/>
      <c r="E755" s="2"/>
      <c r="O755" s="2"/>
    </row>
    <row r="756">
      <c r="A756" s="2"/>
      <c r="E756" s="2"/>
      <c r="O756" s="2"/>
    </row>
    <row r="757">
      <c r="A757" s="2"/>
      <c r="E757" s="2"/>
      <c r="O757" s="2"/>
    </row>
    <row r="758">
      <c r="A758" s="2"/>
      <c r="E758" s="2"/>
      <c r="O758" s="2"/>
    </row>
    <row r="759">
      <c r="A759" s="2"/>
      <c r="E759" s="2"/>
      <c r="O759" s="2"/>
    </row>
    <row r="760">
      <c r="A760" s="2"/>
      <c r="E760" s="2"/>
      <c r="O760" s="2"/>
    </row>
    <row r="761">
      <c r="A761" s="2"/>
      <c r="E761" s="2"/>
      <c r="O761" s="2"/>
    </row>
    <row r="762">
      <c r="A762" s="2"/>
      <c r="E762" s="2"/>
      <c r="O762" s="2"/>
    </row>
    <row r="763">
      <c r="A763" s="2"/>
      <c r="E763" s="2"/>
      <c r="O763" s="2"/>
    </row>
    <row r="764">
      <c r="A764" s="2"/>
      <c r="E764" s="2"/>
      <c r="O764" s="2"/>
    </row>
    <row r="765">
      <c r="A765" s="2"/>
      <c r="E765" s="2"/>
      <c r="O765" s="2"/>
    </row>
    <row r="766">
      <c r="A766" s="2"/>
      <c r="E766" s="2"/>
      <c r="O766" s="2"/>
    </row>
    <row r="767">
      <c r="A767" s="2"/>
      <c r="E767" s="2"/>
      <c r="O767" s="2"/>
    </row>
    <row r="768">
      <c r="A768" s="2"/>
      <c r="E768" s="2"/>
      <c r="O768" s="2"/>
    </row>
    <row r="769">
      <c r="A769" s="2"/>
      <c r="E769" s="2"/>
      <c r="O769" s="2"/>
    </row>
    <row r="770">
      <c r="A770" s="2"/>
      <c r="E770" s="2"/>
      <c r="O770" s="2"/>
    </row>
    <row r="771">
      <c r="A771" s="2"/>
      <c r="E771" s="2"/>
      <c r="O771" s="2"/>
    </row>
    <row r="772">
      <c r="A772" s="2"/>
      <c r="E772" s="2"/>
      <c r="O772" s="2"/>
    </row>
    <row r="773">
      <c r="A773" s="2"/>
      <c r="E773" s="2"/>
      <c r="O773" s="2"/>
    </row>
    <row r="774">
      <c r="A774" s="2"/>
      <c r="E774" s="2"/>
      <c r="O774" s="2"/>
    </row>
    <row r="775">
      <c r="A775" s="2"/>
      <c r="E775" s="2"/>
      <c r="O775" s="2"/>
    </row>
    <row r="776">
      <c r="A776" s="2"/>
      <c r="E776" s="2"/>
      <c r="O776" s="2"/>
    </row>
    <row r="777">
      <c r="A777" s="2"/>
      <c r="E777" s="2"/>
      <c r="O777" s="2"/>
    </row>
    <row r="778">
      <c r="A778" s="2"/>
      <c r="E778" s="2"/>
      <c r="O778" s="2"/>
    </row>
    <row r="779">
      <c r="A779" s="2"/>
      <c r="E779" s="2"/>
      <c r="O779" s="2"/>
    </row>
    <row r="780">
      <c r="A780" s="2"/>
      <c r="E780" s="2"/>
      <c r="O780" s="2"/>
    </row>
    <row r="781">
      <c r="A781" s="2"/>
      <c r="E781" s="2"/>
      <c r="O781" s="2"/>
    </row>
    <row r="782">
      <c r="A782" s="2"/>
      <c r="E782" s="2"/>
      <c r="O782" s="2"/>
    </row>
    <row r="783">
      <c r="A783" s="2"/>
      <c r="E783" s="2"/>
      <c r="O783" s="2"/>
    </row>
    <row r="784">
      <c r="A784" s="2"/>
      <c r="E784" s="2"/>
      <c r="O784" s="2"/>
    </row>
    <row r="785">
      <c r="A785" s="2"/>
      <c r="E785" s="2"/>
      <c r="O785" s="2"/>
    </row>
    <row r="786">
      <c r="A786" s="2"/>
      <c r="E786" s="2"/>
      <c r="O786" s="2"/>
    </row>
    <row r="787">
      <c r="A787" s="2"/>
      <c r="E787" s="2"/>
      <c r="O787" s="2"/>
    </row>
    <row r="788">
      <c r="A788" s="2"/>
      <c r="E788" s="2"/>
      <c r="O788" s="2"/>
    </row>
    <row r="789">
      <c r="A789" s="2"/>
      <c r="E789" s="2"/>
      <c r="O789" s="2"/>
    </row>
    <row r="790">
      <c r="A790" s="2"/>
      <c r="E790" s="2"/>
      <c r="O790" s="2"/>
    </row>
    <row r="791">
      <c r="A791" s="2"/>
      <c r="E791" s="2"/>
      <c r="O791" s="2"/>
    </row>
    <row r="792">
      <c r="A792" s="2"/>
      <c r="E792" s="2"/>
      <c r="O792" s="2"/>
    </row>
    <row r="793">
      <c r="A793" s="2"/>
      <c r="E793" s="2"/>
      <c r="O793" s="2"/>
    </row>
    <row r="794">
      <c r="A794" s="2"/>
      <c r="E794" s="2"/>
      <c r="O794" s="2"/>
    </row>
    <row r="795">
      <c r="A795" s="2"/>
      <c r="E795" s="2"/>
      <c r="O795" s="2"/>
    </row>
    <row r="796">
      <c r="A796" s="2"/>
      <c r="E796" s="2"/>
      <c r="O796" s="2"/>
    </row>
    <row r="797">
      <c r="A797" s="2"/>
      <c r="E797" s="2"/>
      <c r="O797" s="2"/>
    </row>
    <row r="798">
      <c r="A798" s="2"/>
      <c r="E798" s="2"/>
      <c r="O798" s="2"/>
    </row>
    <row r="799">
      <c r="A799" s="2"/>
      <c r="E799" s="2"/>
      <c r="O799" s="2"/>
    </row>
    <row r="800">
      <c r="A800" s="2"/>
      <c r="E800" s="2"/>
      <c r="O800" s="2"/>
    </row>
    <row r="801">
      <c r="A801" s="2"/>
      <c r="E801" s="2"/>
      <c r="O801" s="2"/>
    </row>
    <row r="802">
      <c r="A802" s="2"/>
      <c r="E802" s="2"/>
      <c r="O802" s="2"/>
    </row>
    <row r="803">
      <c r="A803" s="2"/>
      <c r="E803" s="2"/>
      <c r="O803" s="2"/>
    </row>
    <row r="804">
      <c r="A804" s="2"/>
      <c r="E804" s="2"/>
      <c r="O804" s="2"/>
    </row>
    <row r="805">
      <c r="A805" s="2"/>
      <c r="E805" s="2"/>
      <c r="O805" s="2"/>
    </row>
    <row r="806">
      <c r="A806" s="2"/>
      <c r="E806" s="2"/>
      <c r="O806" s="2"/>
    </row>
    <row r="807">
      <c r="A807" s="2"/>
      <c r="E807" s="2"/>
      <c r="O807" s="2"/>
    </row>
    <row r="808">
      <c r="A808" s="2"/>
      <c r="E808" s="2"/>
      <c r="O808" s="2"/>
    </row>
    <row r="809">
      <c r="A809" s="2"/>
      <c r="E809" s="2"/>
      <c r="O809" s="2"/>
    </row>
    <row r="810">
      <c r="A810" s="2"/>
      <c r="E810" s="2"/>
      <c r="O810" s="2"/>
    </row>
    <row r="811">
      <c r="A811" s="2"/>
      <c r="E811" s="2"/>
      <c r="O811" s="2"/>
    </row>
    <row r="812">
      <c r="A812" s="2"/>
      <c r="E812" s="2"/>
      <c r="O812" s="2"/>
    </row>
    <row r="813">
      <c r="A813" s="2"/>
      <c r="E813" s="2"/>
      <c r="O813" s="2"/>
    </row>
    <row r="814">
      <c r="A814" s="2"/>
      <c r="E814" s="2"/>
      <c r="O814" s="2"/>
    </row>
    <row r="815">
      <c r="A815" s="2"/>
      <c r="E815" s="2"/>
      <c r="O815" s="2"/>
    </row>
    <row r="816">
      <c r="A816" s="2"/>
      <c r="E816" s="2"/>
      <c r="O816" s="2"/>
    </row>
    <row r="817">
      <c r="A817" s="2"/>
      <c r="E817" s="2"/>
      <c r="O817" s="2"/>
    </row>
    <row r="818">
      <c r="A818" s="2"/>
      <c r="E818" s="2"/>
      <c r="O818" s="2"/>
    </row>
    <row r="819">
      <c r="A819" s="2"/>
      <c r="E819" s="2"/>
      <c r="O819" s="2"/>
    </row>
    <row r="820">
      <c r="A820" s="2"/>
      <c r="E820" s="2"/>
      <c r="O820" s="2"/>
    </row>
    <row r="821">
      <c r="A821" s="2"/>
      <c r="E821" s="2"/>
      <c r="O821" s="2"/>
    </row>
    <row r="822">
      <c r="A822" s="2"/>
      <c r="E822" s="2"/>
      <c r="O822" s="2"/>
    </row>
    <row r="823">
      <c r="A823" s="2"/>
      <c r="E823" s="2"/>
      <c r="O823" s="2"/>
    </row>
    <row r="824">
      <c r="A824" s="2"/>
      <c r="E824" s="2"/>
      <c r="O824" s="2"/>
    </row>
    <row r="825">
      <c r="A825" s="2"/>
      <c r="E825" s="2"/>
      <c r="O825" s="2"/>
    </row>
    <row r="826">
      <c r="A826" s="2"/>
      <c r="E826" s="2"/>
      <c r="O826" s="2"/>
    </row>
    <row r="827">
      <c r="A827" s="2"/>
      <c r="E827" s="2"/>
      <c r="O827" s="2"/>
    </row>
    <row r="828">
      <c r="A828" s="2"/>
      <c r="E828" s="2"/>
      <c r="O828" s="2"/>
    </row>
    <row r="829">
      <c r="A829" s="2"/>
      <c r="E829" s="2"/>
      <c r="O829" s="2"/>
    </row>
    <row r="830">
      <c r="A830" s="2"/>
      <c r="E830" s="2"/>
      <c r="O830" s="2"/>
    </row>
    <row r="831">
      <c r="A831" s="2"/>
      <c r="E831" s="2"/>
      <c r="O831" s="2"/>
    </row>
    <row r="832">
      <c r="A832" s="2"/>
      <c r="E832" s="2"/>
      <c r="O832" s="2"/>
    </row>
    <row r="833">
      <c r="A833" s="2"/>
      <c r="E833" s="2"/>
      <c r="O833" s="2"/>
    </row>
    <row r="834">
      <c r="A834" s="2"/>
      <c r="E834" s="2"/>
      <c r="O834" s="2"/>
    </row>
    <row r="835">
      <c r="A835" s="2"/>
      <c r="E835" s="2"/>
      <c r="O835" s="2"/>
    </row>
    <row r="836">
      <c r="A836" s="2"/>
      <c r="E836" s="2"/>
      <c r="O836" s="2"/>
    </row>
    <row r="837">
      <c r="A837" s="2"/>
      <c r="E837" s="2"/>
      <c r="O837" s="2"/>
    </row>
    <row r="838">
      <c r="A838" s="2"/>
      <c r="E838" s="2"/>
      <c r="O838" s="2"/>
    </row>
    <row r="839">
      <c r="A839" s="2"/>
      <c r="E839" s="2"/>
      <c r="O839" s="2"/>
    </row>
    <row r="840">
      <c r="A840" s="2"/>
      <c r="E840" s="2"/>
      <c r="O840" s="2"/>
    </row>
    <row r="841">
      <c r="A841" s="2"/>
      <c r="E841" s="2"/>
      <c r="O841" s="2"/>
    </row>
    <row r="842">
      <c r="A842" s="2"/>
      <c r="E842" s="2"/>
      <c r="O842" s="2"/>
    </row>
    <row r="843">
      <c r="A843" s="2"/>
      <c r="E843" s="2"/>
      <c r="O843" s="2"/>
    </row>
    <row r="844">
      <c r="A844" s="2"/>
      <c r="E844" s="2"/>
      <c r="O844" s="2"/>
    </row>
    <row r="845">
      <c r="A845" s="2"/>
      <c r="E845" s="2"/>
      <c r="O845" s="2"/>
    </row>
    <row r="846">
      <c r="A846" s="2"/>
      <c r="E846" s="2"/>
      <c r="O846" s="2"/>
    </row>
    <row r="847">
      <c r="A847" s="2"/>
      <c r="E847" s="2"/>
      <c r="O847" s="2"/>
    </row>
    <row r="848">
      <c r="A848" s="2"/>
      <c r="E848" s="2"/>
      <c r="O848" s="2"/>
    </row>
    <row r="849">
      <c r="A849" s="2"/>
      <c r="E849" s="2"/>
      <c r="O849" s="2"/>
    </row>
    <row r="850">
      <c r="A850" s="2"/>
      <c r="E850" s="2"/>
      <c r="O850" s="2"/>
    </row>
    <row r="851">
      <c r="A851" s="2"/>
      <c r="E851" s="2"/>
      <c r="O851" s="2"/>
    </row>
    <row r="852">
      <c r="A852" s="2"/>
      <c r="E852" s="2"/>
      <c r="O852" s="2"/>
    </row>
    <row r="853">
      <c r="A853" s="2"/>
      <c r="E853" s="2"/>
      <c r="O853" s="2"/>
    </row>
    <row r="854">
      <c r="A854" s="2"/>
      <c r="E854" s="2"/>
      <c r="O854" s="2"/>
    </row>
    <row r="855">
      <c r="A855" s="2"/>
      <c r="E855" s="2"/>
      <c r="O855" s="2"/>
    </row>
    <row r="856">
      <c r="A856" s="2"/>
      <c r="E856" s="2"/>
      <c r="O856" s="2"/>
    </row>
    <row r="857">
      <c r="A857" s="2"/>
      <c r="E857" s="2"/>
      <c r="O857" s="2"/>
    </row>
    <row r="858">
      <c r="A858" s="2"/>
      <c r="E858" s="2"/>
      <c r="O858" s="2"/>
    </row>
    <row r="859">
      <c r="A859" s="2"/>
      <c r="E859" s="2"/>
      <c r="O859" s="2"/>
    </row>
    <row r="860">
      <c r="A860" s="2"/>
      <c r="E860" s="2"/>
      <c r="O860" s="2"/>
    </row>
    <row r="861">
      <c r="A861" s="2"/>
      <c r="E861" s="2"/>
      <c r="O861" s="2"/>
    </row>
    <row r="862">
      <c r="A862" s="2"/>
      <c r="E862" s="2"/>
      <c r="O862" s="2"/>
    </row>
    <row r="863">
      <c r="A863" s="2"/>
      <c r="E863" s="2"/>
      <c r="O863" s="2"/>
    </row>
    <row r="864">
      <c r="A864" s="2"/>
      <c r="E864" s="2"/>
      <c r="O864" s="2"/>
    </row>
    <row r="865">
      <c r="A865" s="2"/>
      <c r="E865" s="2"/>
      <c r="O865" s="2"/>
    </row>
    <row r="866">
      <c r="A866" s="2"/>
      <c r="E866" s="2"/>
      <c r="O866" s="2"/>
    </row>
    <row r="867">
      <c r="A867" s="2"/>
      <c r="E867" s="2"/>
      <c r="O867" s="2"/>
    </row>
    <row r="868">
      <c r="A868" s="2"/>
      <c r="E868" s="2"/>
      <c r="O868" s="2"/>
    </row>
    <row r="869">
      <c r="A869" s="2"/>
      <c r="E869" s="2"/>
      <c r="O869" s="2"/>
    </row>
    <row r="870">
      <c r="A870" s="2"/>
      <c r="E870" s="2"/>
      <c r="O870" s="2"/>
    </row>
    <row r="871">
      <c r="A871" s="2"/>
      <c r="E871" s="2"/>
      <c r="O871" s="2"/>
    </row>
    <row r="872">
      <c r="A872" s="2"/>
      <c r="E872" s="2"/>
      <c r="O872" s="2"/>
    </row>
    <row r="873">
      <c r="A873" s="2"/>
      <c r="E873" s="2"/>
      <c r="O873" s="2"/>
    </row>
    <row r="874">
      <c r="A874" s="2"/>
      <c r="E874" s="2"/>
      <c r="O874" s="2"/>
    </row>
    <row r="875">
      <c r="A875" s="2"/>
      <c r="E875" s="2"/>
      <c r="O875" s="2"/>
    </row>
    <row r="876">
      <c r="A876" s="2"/>
      <c r="E876" s="2"/>
      <c r="O876" s="2"/>
    </row>
    <row r="877">
      <c r="A877" s="2"/>
      <c r="E877" s="2"/>
      <c r="O877" s="2"/>
    </row>
    <row r="878">
      <c r="A878" s="2"/>
      <c r="E878" s="2"/>
      <c r="O878" s="2"/>
    </row>
    <row r="879">
      <c r="A879" s="2"/>
      <c r="E879" s="2"/>
      <c r="O879" s="2"/>
    </row>
    <row r="880">
      <c r="A880" s="2"/>
      <c r="E880" s="2"/>
      <c r="O880" s="2"/>
    </row>
    <row r="881">
      <c r="A881" s="2"/>
      <c r="E881" s="2"/>
      <c r="O881" s="2"/>
    </row>
    <row r="882">
      <c r="A882" s="2"/>
      <c r="E882" s="2"/>
      <c r="O882" s="2"/>
    </row>
    <row r="883">
      <c r="A883" s="2"/>
      <c r="E883" s="2"/>
      <c r="O883" s="2"/>
    </row>
    <row r="884">
      <c r="A884" s="2"/>
      <c r="E884" s="2"/>
      <c r="O884" s="2"/>
    </row>
    <row r="885">
      <c r="A885" s="2"/>
      <c r="E885" s="2"/>
      <c r="O885" s="2"/>
    </row>
    <row r="886">
      <c r="A886" s="2"/>
      <c r="E886" s="2"/>
      <c r="O886" s="2"/>
    </row>
    <row r="887">
      <c r="A887" s="2"/>
      <c r="E887" s="2"/>
      <c r="O887" s="2"/>
    </row>
    <row r="888">
      <c r="A888" s="2"/>
      <c r="E888" s="2"/>
      <c r="O888" s="2"/>
    </row>
    <row r="889">
      <c r="A889" s="2"/>
      <c r="E889" s="2"/>
      <c r="O889" s="2"/>
    </row>
    <row r="890">
      <c r="A890" s="2"/>
      <c r="E890" s="2"/>
      <c r="O890" s="2"/>
    </row>
    <row r="891">
      <c r="A891" s="2"/>
      <c r="E891" s="2"/>
      <c r="O891" s="2"/>
    </row>
    <row r="892">
      <c r="A892" s="2"/>
      <c r="E892" s="2"/>
      <c r="O892" s="2"/>
    </row>
    <row r="893">
      <c r="A893" s="2"/>
      <c r="E893" s="2"/>
      <c r="O893" s="2"/>
    </row>
    <row r="894">
      <c r="A894" s="2"/>
      <c r="E894" s="2"/>
      <c r="O894" s="2"/>
    </row>
    <row r="895">
      <c r="A895" s="2"/>
      <c r="E895" s="2"/>
      <c r="O895" s="2"/>
    </row>
    <row r="896">
      <c r="A896" s="2"/>
      <c r="E896" s="2"/>
      <c r="O896" s="2"/>
    </row>
    <row r="897">
      <c r="A897" s="2"/>
      <c r="E897" s="2"/>
      <c r="O897" s="2"/>
    </row>
    <row r="898">
      <c r="A898" s="2"/>
      <c r="E898" s="2"/>
      <c r="O898" s="2"/>
    </row>
    <row r="899">
      <c r="A899" s="2"/>
      <c r="E899" s="2"/>
      <c r="O899" s="2"/>
    </row>
    <row r="900">
      <c r="A900" s="2"/>
      <c r="E900" s="2"/>
      <c r="O900" s="2"/>
    </row>
    <row r="901">
      <c r="A901" s="2"/>
      <c r="E901" s="2"/>
      <c r="O901" s="2"/>
    </row>
    <row r="902">
      <c r="A902" s="2"/>
      <c r="E902" s="2"/>
      <c r="O902" s="2"/>
    </row>
    <row r="903">
      <c r="A903" s="2"/>
      <c r="E903" s="2"/>
      <c r="O903" s="2"/>
    </row>
    <row r="904">
      <c r="A904" s="2"/>
      <c r="E904" s="2"/>
      <c r="O904" s="2"/>
    </row>
    <row r="905">
      <c r="A905" s="2"/>
      <c r="E905" s="2"/>
      <c r="O905" s="2"/>
    </row>
    <row r="906">
      <c r="A906" s="2"/>
      <c r="E906" s="2"/>
      <c r="O906" s="2"/>
    </row>
    <row r="907">
      <c r="A907" s="2"/>
      <c r="E907" s="2"/>
      <c r="O907" s="2"/>
    </row>
    <row r="908">
      <c r="A908" s="2"/>
      <c r="E908" s="2"/>
      <c r="O908" s="2"/>
    </row>
    <row r="909">
      <c r="A909" s="2"/>
      <c r="E909" s="2"/>
      <c r="O909" s="2"/>
    </row>
    <row r="910">
      <c r="A910" s="2"/>
      <c r="E910" s="2"/>
      <c r="O910" s="2"/>
    </row>
    <row r="911">
      <c r="A911" s="2"/>
      <c r="E911" s="2"/>
      <c r="O911" s="2"/>
    </row>
    <row r="912">
      <c r="A912" s="2"/>
      <c r="E912" s="2"/>
      <c r="O912" s="2"/>
    </row>
    <row r="913">
      <c r="A913" s="2"/>
      <c r="E913" s="2"/>
      <c r="O913" s="2"/>
    </row>
    <row r="914">
      <c r="A914" s="2"/>
      <c r="E914" s="2"/>
      <c r="O914" s="2"/>
    </row>
    <row r="915">
      <c r="A915" s="2"/>
      <c r="E915" s="2"/>
      <c r="O915" s="2"/>
    </row>
    <row r="916">
      <c r="A916" s="2"/>
      <c r="E916" s="2"/>
      <c r="O916" s="2"/>
    </row>
    <row r="917">
      <c r="A917" s="2"/>
      <c r="E917" s="2"/>
      <c r="O917" s="2"/>
    </row>
    <row r="918">
      <c r="A918" s="2"/>
      <c r="E918" s="2"/>
      <c r="O918" s="2"/>
    </row>
    <row r="919">
      <c r="A919" s="2"/>
      <c r="E919" s="2"/>
      <c r="O919" s="2"/>
    </row>
    <row r="920">
      <c r="A920" s="2"/>
      <c r="E920" s="2"/>
      <c r="O920" s="2"/>
    </row>
    <row r="921">
      <c r="A921" s="2"/>
      <c r="E921" s="2"/>
      <c r="O921" s="2"/>
    </row>
    <row r="922">
      <c r="A922" s="2"/>
      <c r="E922" s="2"/>
      <c r="O922" s="2"/>
    </row>
    <row r="923">
      <c r="A923" s="2"/>
      <c r="E923" s="2"/>
      <c r="O923" s="2"/>
    </row>
    <row r="924">
      <c r="A924" s="2"/>
      <c r="E924" s="2"/>
      <c r="O924" s="2"/>
    </row>
    <row r="925">
      <c r="A925" s="2"/>
      <c r="E925" s="2"/>
      <c r="O925" s="2"/>
    </row>
    <row r="926">
      <c r="A926" s="2"/>
      <c r="E926" s="2"/>
      <c r="O926" s="2"/>
    </row>
    <row r="927">
      <c r="A927" s="2"/>
      <c r="E927" s="2"/>
      <c r="O927" s="2"/>
    </row>
    <row r="928">
      <c r="A928" s="2"/>
      <c r="E928" s="2"/>
      <c r="O928" s="2"/>
    </row>
    <row r="929">
      <c r="A929" s="2"/>
      <c r="E929" s="2"/>
      <c r="O929" s="2"/>
    </row>
    <row r="930">
      <c r="A930" s="2"/>
      <c r="E930" s="2"/>
      <c r="O930" s="2"/>
    </row>
    <row r="931">
      <c r="A931" s="2"/>
      <c r="E931" s="2"/>
      <c r="O931" s="2"/>
    </row>
    <row r="932">
      <c r="A932" s="2"/>
      <c r="E932" s="2"/>
      <c r="O932" s="2"/>
    </row>
    <row r="933">
      <c r="A933" s="2"/>
      <c r="E933" s="2"/>
      <c r="O933" s="2"/>
    </row>
    <row r="934">
      <c r="A934" s="2"/>
      <c r="E934" s="2"/>
      <c r="O934" s="2"/>
    </row>
    <row r="935">
      <c r="A935" s="2"/>
      <c r="E935" s="2"/>
      <c r="O935" s="2"/>
    </row>
    <row r="936">
      <c r="A936" s="2"/>
      <c r="E936" s="2"/>
      <c r="O936" s="2"/>
    </row>
    <row r="937">
      <c r="A937" s="2"/>
      <c r="E937" s="2"/>
      <c r="O937" s="2"/>
    </row>
    <row r="938">
      <c r="A938" s="2"/>
      <c r="E938" s="2"/>
      <c r="O938" s="2"/>
    </row>
    <row r="939">
      <c r="A939" s="2"/>
      <c r="E939" s="2"/>
      <c r="O939" s="2"/>
    </row>
    <row r="940">
      <c r="A940" s="2"/>
      <c r="E940" s="2"/>
      <c r="O940" s="2"/>
    </row>
    <row r="941">
      <c r="A941" s="2"/>
      <c r="E941" s="2"/>
      <c r="O941" s="2"/>
    </row>
    <row r="942">
      <c r="A942" s="2"/>
      <c r="E942" s="2"/>
      <c r="O942" s="2"/>
    </row>
    <row r="943">
      <c r="A943" s="2"/>
      <c r="E943" s="2"/>
      <c r="O943" s="2"/>
    </row>
    <row r="944">
      <c r="A944" s="2"/>
      <c r="E944" s="2"/>
      <c r="O944" s="2"/>
    </row>
    <row r="945">
      <c r="A945" s="2"/>
      <c r="E945" s="2"/>
      <c r="O945" s="2"/>
    </row>
    <row r="946">
      <c r="A946" s="2"/>
      <c r="E946" s="2"/>
      <c r="O946" s="2"/>
    </row>
    <row r="947">
      <c r="A947" s="2"/>
      <c r="E947" s="2"/>
      <c r="O947" s="2"/>
    </row>
    <row r="948">
      <c r="A948" s="2"/>
      <c r="E948" s="2"/>
      <c r="O948" s="2"/>
    </row>
    <row r="949">
      <c r="A949" s="2"/>
      <c r="E949" s="2"/>
      <c r="O949" s="2"/>
    </row>
    <row r="950">
      <c r="A950" s="2"/>
      <c r="E950" s="2"/>
      <c r="O950" s="2"/>
    </row>
    <row r="951">
      <c r="A951" s="2"/>
      <c r="E951" s="2"/>
      <c r="O951" s="2"/>
    </row>
    <row r="952">
      <c r="A952" s="2"/>
      <c r="E952" s="2"/>
      <c r="O952" s="2"/>
    </row>
    <row r="953">
      <c r="A953" s="2"/>
      <c r="E953" s="2"/>
      <c r="O953" s="2"/>
    </row>
    <row r="954">
      <c r="A954" s="2"/>
      <c r="E954" s="2"/>
      <c r="O954" s="2"/>
    </row>
    <row r="955">
      <c r="A955" s="2"/>
      <c r="E955" s="2"/>
      <c r="O955" s="2"/>
    </row>
    <row r="956">
      <c r="A956" s="2"/>
      <c r="E956" s="2"/>
      <c r="O956" s="2"/>
    </row>
    <row r="957">
      <c r="A957" s="2"/>
      <c r="E957" s="2"/>
      <c r="O957" s="2"/>
    </row>
    <row r="958">
      <c r="A958" s="2"/>
      <c r="E958" s="2"/>
      <c r="O958" s="2"/>
    </row>
    <row r="959">
      <c r="A959" s="2"/>
      <c r="E959" s="2"/>
      <c r="O959" s="2"/>
    </row>
    <row r="960">
      <c r="A960" s="2"/>
      <c r="E960" s="2"/>
      <c r="O960" s="2"/>
    </row>
    <row r="961">
      <c r="A961" s="2"/>
      <c r="E961" s="2"/>
      <c r="O961" s="2"/>
    </row>
    <row r="962">
      <c r="A962" s="2"/>
      <c r="E962" s="2"/>
      <c r="O962" s="2"/>
    </row>
    <row r="963">
      <c r="A963" s="2"/>
      <c r="E963" s="2"/>
      <c r="O963" s="2"/>
    </row>
    <row r="964">
      <c r="A964" s="2"/>
      <c r="E964" s="2"/>
      <c r="O964" s="2"/>
    </row>
    <row r="965">
      <c r="A965" s="2"/>
      <c r="E965" s="2"/>
      <c r="O965" s="2"/>
    </row>
    <row r="966">
      <c r="A966" s="2"/>
      <c r="E966" s="2"/>
      <c r="O966" s="2"/>
    </row>
    <row r="967">
      <c r="A967" s="2"/>
      <c r="E967" s="2"/>
      <c r="O967" s="2"/>
    </row>
    <row r="968">
      <c r="A968" s="2"/>
      <c r="E968" s="2"/>
      <c r="O968" s="2"/>
    </row>
    <row r="969">
      <c r="A969" s="2"/>
      <c r="E969" s="2"/>
      <c r="O969" s="2"/>
    </row>
    <row r="970">
      <c r="A970" s="2"/>
      <c r="E970" s="2"/>
      <c r="O970" s="2"/>
    </row>
    <row r="971">
      <c r="A971" s="2"/>
      <c r="E971" s="2"/>
      <c r="O971" s="2"/>
    </row>
    <row r="972">
      <c r="A972" s="2"/>
      <c r="E972" s="2"/>
      <c r="O972" s="2"/>
    </row>
    <row r="973">
      <c r="A973" s="2"/>
      <c r="E973" s="2"/>
      <c r="O973" s="2"/>
    </row>
    <row r="974">
      <c r="A974" s="2"/>
      <c r="E974" s="2"/>
      <c r="O974" s="2"/>
    </row>
    <row r="975">
      <c r="A975" s="2"/>
      <c r="E975" s="2"/>
      <c r="O975" s="2"/>
    </row>
    <row r="976">
      <c r="A976" s="2"/>
      <c r="E976" s="2"/>
      <c r="O976" s="2"/>
    </row>
    <row r="977">
      <c r="A977" s="2"/>
      <c r="E977" s="2"/>
      <c r="O977" s="2"/>
    </row>
    <row r="978">
      <c r="A978" s="2"/>
      <c r="E978" s="2"/>
      <c r="O978" s="2"/>
    </row>
    <row r="979">
      <c r="A979" s="2"/>
      <c r="E979" s="2"/>
      <c r="O979" s="2"/>
    </row>
    <row r="980">
      <c r="A980" s="2"/>
      <c r="E980" s="2"/>
      <c r="O980" s="2"/>
    </row>
    <row r="981">
      <c r="A981" s="2"/>
      <c r="E981" s="2"/>
      <c r="O981" s="2"/>
    </row>
    <row r="982">
      <c r="A982" s="2"/>
      <c r="E982" s="2"/>
      <c r="O982" s="2"/>
    </row>
    <row r="983">
      <c r="A983" s="2"/>
      <c r="E983" s="2"/>
      <c r="O983" s="2"/>
    </row>
    <row r="984">
      <c r="A984" s="2"/>
      <c r="E984" s="2"/>
      <c r="O984" s="2"/>
    </row>
    <row r="985">
      <c r="A985" s="2"/>
      <c r="E985" s="2"/>
      <c r="O985" s="2"/>
    </row>
    <row r="986">
      <c r="A986" s="2"/>
      <c r="E986" s="2"/>
      <c r="O986" s="2"/>
    </row>
    <row r="987">
      <c r="A987" s="2"/>
      <c r="E987" s="2"/>
      <c r="O987" s="2"/>
    </row>
    <row r="988">
      <c r="A988" s="2"/>
      <c r="E988" s="2"/>
      <c r="O988" s="2"/>
    </row>
    <row r="989">
      <c r="A989" s="2"/>
      <c r="E989" s="2"/>
      <c r="O989" s="2"/>
    </row>
    <row r="990">
      <c r="A990" s="2"/>
      <c r="E990" s="2"/>
      <c r="O990" s="2"/>
    </row>
    <row r="991">
      <c r="A991" s="2"/>
      <c r="E991" s="2"/>
      <c r="O991" s="2"/>
    </row>
    <row r="992">
      <c r="A992" s="2"/>
      <c r="E992" s="2"/>
      <c r="O992" s="2"/>
    </row>
    <row r="993">
      <c r="A993" s="2"/>
      <c r="E993" s="2"/>
      <c r="O993" s="2"/>
    </row>
    <row r="994">
      <c r="A994" s="2"/>
      <c r="E994" s="2"/>
      <c r="O994" s="2"/>
    </row>
    <row r="995">
      <c r="A995" s="2"/>
      <c r="E995" s="2"/>
      <c r="O995" s="2"/>
    </row>
    <row r="996">
      <c r="A996" s="2"/>
      <c r="E996" s="2"/>
      <c r="O996" s="2"/>
    </row>
    <row r="997">
      <c r="A997" s="2"/>
      <c r="E997" s="2"/>
      <c r="O997" s="2"/>
    </row>
    <row r="998">
      <c r="A998" s="2"/>
      <c r="E998" s="2"/>
      <c r="O998" s="2"/>
    </row>
    <row r="999">
      <c r="A999" s="2"/>
      <c r="E999" s="2"/>
      <c r="O999" s="2"/>
    </row>
    <row r="1000">
      <c r="A1000" s="2"/>
      <c r="E1000" s="2"/>
      <c r="O1000" s="2"/>
    </row>
    <row r="1001">
      <c r="A1001" s="2"/>
      <c r="E1001" s="2"/>
      <c r="O1001" s="2"/>
    </row>
    <row r="1002">
      <c r="A1002" s="2"/>
      <c r="E1002" s="2"/>
      <c r="O1002" s="2"/>
    </row>
    <row r="1003">
      <c r="A1003" s="2"/>
      <c r="E1003" s="2"/>
      <c r="O1003" s="2"/>
    </row>
    <row r="1004">
      <c r="A1004" s="2"/>
      <c r="E1004" s="2"/>
      <c r="O1004" s="2"/>
    </row>
    <row r="1005">
      <c r="A1005" s="2"/>
      <c r="E1005" s="2"/>
      <c r="O1005" s="2"/>
    </row>
    <row r="1006">
      <c r="A1006" s="2"/>
      <c r="E1006" s="2"/>
      <c r="O1006" s="2"/>
    </row>
    <row r="1007">
      <c r="A1007" s="2"/>
      <c r="E1007" s="2"/>
      <c r="O1007" s="2"/>
    </row>
    <row r="1008">
      <c r="A1008" s="2"/>
      <c r="E1008" s="2"/>
      <c r="O1008" s="2"/>
    </row>
    <row r="1009">
      <c r="A1009" s="2"/>
      <c r="E1009" s="2"/>
      <c r="O1009" s="2"/>
    </row>
    <row r="1010">
      <c r="A1010" s="2"/>
      <c r="E1010" s="2"/>
      <c r="O1010" s="2"/>
    </row>
    <row r="1011">
      <c r="A1011" s="2"/>
      <c r="E1011" s="2"/>
      <c r="O1011" s="2"/>
    </row>
    <row r="1012">
      <c r="A1012" s="2"/>
      <c r="E1012" s="2"/>
      <c r="O1012" s="2"/>
    </row>
    <row r="1013">
      <c r="A1013" s="2"/>
      <c r="E1013" s="2"/>
      <c r="O1013" s="2"/>
    </row>
    <row r="1014">
      <c r="A1014" s="2"/>
      <c r="E1014" s="2"/>
      <c r="O1014" s="2"/>
    </row>
    <row r="1015">
      <c r="A1015" s="2"/>
      <c r="E1015" s="2"/>
      <c r="O1015" s="2"/>
    </row>
    <row r="1016">
      <c r="A1016" s="2"/>
      <c r="E1016" s="2"/>
      <c r="O1016" s="2"/>
    </row>
    <row r="1017">
      <c r="A1017" s="2"/>
      <c r="E1017" s="2"/>
      <c r="O1017" s="2"/>
    </row>
    <row r="1018">
      <c r="A1018" s="2"/>
      <c r="E1018" s="2"/>
      <c r="O1018" s="2"/>
    </row>
    <row r="1019">
      <c r="A1019" s="2"/>
      <c r="E1019" s="2"/>
      <c r="O1019" s="2"/>
    </row>
    <row r="1020">
      <c r="A1020" s="2"/>
      <c r="E1020" s="2"/>
      <c r="O1020" s="2"/>
    </row>
    <row r="1021">
      <c r="A1021" s="2"/>
      <c r="E1021" s="2"/>
      <c r="O1021" s="2"/>
    </row>
    <row r="1022">
      <c r="A1022" s="2"/>
      <c r="E1022" s="2"/>
      <c r="O1022" s="2"/>
    </row>
    <row r="1023">
      <c r="A1023" s="2"/>
      <c r="E1023" s="2"/>
      <c r="O1023" s="2"/>
    </row>
    <row r="1024">
      <c r="A1024" s="2"/>
      <c r="E1024" s="2"/>
      <c r="O1024" s="2"/>
    </row>
    <row r="1025">
      <c r="A1025" s="2"/>
      <c r="E1025" s="2"/>
      <c r="O1025" s="2"/>
    </row>
    <row r="1026">
      <c r="A1026" s="2"/>
      <c r="E1026" s="2"/>
      <c r="O1026" s="2"/>
    </row>
    <row r="1027">
      <c r="A1027" s="2"/>
      <c r="E1027" s="2"/>
      <c r="O1027" s="2"/>
    </row>
    <row r="1028">
      <c r="A1028" s="2"/>
      <c r="E1028" s="2"/>
      <c r="O1028" s="2"/>
    </row>
    <row r="1029">
      <c r="A1029" s="2"/>
      <c r="E1029" s="2"/>
      <c r="O1029" s="2"/>
    </row>
    <row r="1030">
      <c r="A1030" s="2"/>
      <c r="E1030" s="2"/>
      <c r="O1030" s="2"/>
    </row>
    <row r="1031">
      <c r="A1031" s="2"/>
      <c r="E1031" s="2"/>
      <c r="O1031" s="2"/>
    </row>
    <row r="1032">
      <c r="A1032" s="2"/>
      <c r="E1032" s="2"/>
      <c r="O1032" s="2"/>
    </row>
    <row r="1033">
      <c r="A1033" s="2"/>
      <c r="E1033" s="2"/>
      <c r="O1033" s="2"/>
    </row>
    <row r="1034">
      <c r="A1034" s="2"/>
      <c r="E1034" s="2"/>
      <c r="O1034" s="2"/>
    </row>
    <row r="1035">
      <c r="A1035" s="2"/>
      <c r="E1035" s="2"/>
      <c r="O1035" s="2"/>
    </row>
    <row r="1036">
      <c r="A1036" s="2"/>
      <c r="E1036" s="2"/>
      <c r="O1036" s="2"/>
    </row>
    <row r="1037">
      <c r="A1037" s="2"/>
      <c r="E1037" s="2"/>
      <c r="O1037" s="2"/>
    </row>
    <row r="1038">
      <c r="A1038" s="2"/>
      <c r="E1038" s="2"/>
      <c r="O1038" s="2"/>
    </row>
    <row r="1039">
      <c r="A1039" s="2"/>
      <c r="E1039" s="2"/>
      <c r="O1039" s="2"/>
    </row>
    <row r="1040">
      <c r="A1040" s="2"/>
      <c r="E1040" s="2"/>
      <c r="O1040" s="2"/>
    </row>
    <row r="1041">
      <c r="A1041" s="2"/>
      <c r="E1041" s="2"/>
      <c r="O1041" s="2"/>
    </row>
    <row r="1042">
      <c r="A1042" s="2"/>
      <c r="E1042" s="2"/>
      <c r="O1042" s="2"/>
    </row>
    <row r="1043">
      <c r="A1043" s="2"/>
      <c r="E1043" s="2"/>
      <c r="O1043" s="2"/>
    </row>
    <row r="1044">
      <c r="A1044" s="2"/>
      <c r="E1044" s="2"/>
      <c r="O1044" s="2"/>
    </row>
    <row r="1045">
      <c r="A1045" s="2"/>
      <c r="E1045" s="2"/>
      <c r="O1045" s="2"/>
    </row>
    <row r="1046">
      <c r="A1046" s="2"/>
      <c r="E1046" s="2"/>
      <c r="O1046" s="2"/>
    </row>
    <row r="1047">
      <c r="A1047" s="2"/>
      <c r="E1047" s="2"/>
      <c r="O1047" s="2"/>
    </row>
    <row r="1048">
      <c r="A1048" s="2"/>
      <c r="E1048" s="2"/>
      <c r="O1048" s="2"/>
    </row>
    <row r="1049">
      <c r="A1049" s="2"/>
      <c r="E1049" s="2"/>
      <c r="O1049" s="2"/>
    </row>
    <row r="1050">
      <c r="A1050" s="2"/>
      <c r="E1050" s="2"/>
      <c r="O1050" s="2"/>
    </row>
    <row r="1051">
      <c r="A1051" s="2"/>
      <c r="E1051" s="2"/>
      <c r="O1051" s="2"/>
    </row>
    <row r="1052">
      <c r="A1052" s="2"/>
      <c r="E1052" s="2"/>
      <c r="O1052" s="2"/>
    </row>
    <row r="1053">
      <c r="A1053" s="2"/>
      <c r="E1053" s="2"/>
      <c r="O1053" s="2"/>
    </row>
    <row r="1054">
      <c r="A1054" s="2"/>
      <c r="E1054" s="2"/>
      <c r="O1054" s="2"/>
    </row>
    <row r="1055">
      <c r="A1055" s="2"/>
      <c r="E1055" s="2"/>
      <c r="O1055" s="2"/>
    </row>
    <row r="1056">
      <c r="A1056" s="2"/>
      <c r="E1056" s="2"/>
      <c r="O1056" s="2"/>
    </row>
    <row r="1057">
      <c r="A1057" s="2"/>
      <c r="E1057" s="2"/>
      <c r="O1057" s="2"/>
    </row>
    <row r="1058">
      <c r="A1058" s="2"/>
      <c r="E1058" s="2"/>
      <c r="O1058" s="2"/>
    </row>
    <row r="1059">
      <c r="A1059" s="2"/>
      <c r="E1059" s="2"/>
      <c r="O1059" s="2"/>
    </row>
    <row r="1060">
      <c r="A1060" s="2"/>
      <c r="E1060" s="2"/>
      <c r="O1060" s="2"/>
    </row>
    <row r="1061">
      <c r="A1061" s="2"/>
      <c r="E1061" s="2"/>
      <c r="O1061" s="2"/>
    </row>
    <row r="1062">
      <c r="A1062" s="2"/>
      <c r="E1062" s="2"/>
      <c r="O1062" s="2"/>
    </row>
    <row r="1063">
      <c r="A1063" s="2"/>
      <c r="E1063" s="2"/>
      <c r="O1063" s="2"/>
    </row>
    <row r="1064">
      <c r="A1064" s="2"/>
      <c r="E1064" s="2"/>
      <c r="O1064" s="2"/>
    </row>
    <row r="1065">
      <c r="A1065" s="2"/>
      <c r="E1065" s="2"/>
      <c r="O1065" s="2"/>
    </row>
    <row r="1066">
      <c r="A1066" s="2"/>
      <c r="E1066" s="2"/>
      <c r="O1066" s="2"/>
    </row>
    <row r="1067">
      <c r="A1067" s="2"/>
      <c r="E1067" s="2"/>
      <c r="O1067" s="2"/>
    </row>
    <row r="1068">
      <c r="A1068" s="2"/>
      <c r="E1068" s="2"/>
      <c r="O1068" s="2"/>
    </row>
    <row r="1069">
      <c r="A1069" s="2"/>
      <c r="E1069" s="2"/>
      <c r="O1069" s="2"/>
    </row>
    <row r="1070">
      <c r="A1070" s="2"/>
      <c r="E1070" s="2"/>
      <c r="O1070" s="2"/>
    </row>
    <row r="1071">
      <c r="A1071" s="2"/>
      <c r="E1071" s="2"/>
      <c r="O1071" s="2"/>
    </row>
    <row r="1072">
      <c r="A1072" s="2"/>
      <c r="E1072" s="2"/>
      <c r="O1072" s="2"/>
    </row>
    <row r="1073">
      <c r="A1073" s="2"/>
      <c r="E1073" s="2"/>
      <c r="O1073" s="2"/>
    </row>
    <row r="1074">
      <c r="A1074" s="2"/>
      <c r="E1074" s="2"/>
      <c r="O1074" s="2"/>
    </row>
    <row r="1075">
      <c r="A1075" s="2"/>
      <c r="E1075" s="2"/>
      <c r="O1075" s="2"/>
    </row>
    <row r="1076">
      <c r="A1076" s="2"/>
      <c r="E1076" s="2"/>
      <c r="O1076" s="2"/>
    </row>
    <row r="1077">
      <c r="A1077" s="2"/>
      <c r="E1077" s="2"/>
      <c r="O1077" s="2"/>
    </row>
    <row r="1078">
      <c r="A1078" s="2"/>
      <c r="E1078" s="2"/>
      <c r="O1078" s="2"/>
    </row>
    <row r="1079">
      <c r="A1079" s="2"/>
      <c r="E1079" s="2"/>
      <c r="O1079" s="2"/>
    </row>
    <row r="1080">
      <c r="A1080" s="2"/>
      <c r="E1080" s="2"/>
      <c r="O1080" s="2"/>
    </row>
    <row r="1081">
      <c r="A1081" s="2"/>
      <c r="E1081" s="2"/>
      <c r="O1081" s="2"/>
    </row>
    <row r="1082">
      <c r="A1082" s="2"/>
      <c r="E1082" s="2"/>
      <c r="O1082" s="2"/>
    </row>
    <row r="1083">
      <c r="A1083" s="2"/>
      <c r="E1083" s="2"/>
      <c r="O1083" s="2"/>
    </row>
    <row r="1084">
      <c r="A1084" s="2"/>
      <c r="E1084" s="2"/>
      <c r="O1084" s="2"/>
    </row>
    <row r="1085">
      <c r="A1085" s="2"/>
      <c r="E1085" s="2"/>
      <c r="O1085" s="2"/>
    </row>
    <row r="1086">
      <c r="A1086" s="2"/>
      <c r="E1086" s="2"/>
      <c r="O1086" s="2"/>
    </row>
    <row r="1087">
      <c r="A1087" s="2"/>
      <c r="E1087" s="2"/>
      <c r="O1087" s="2"/>
    </row>
    <row r="1088">
      <c r="A1088" s="2"/>
      <c r="E1088" s="2"/>
      <c r="O1088" s="2"/>
    </row>
    <row r="1089">
      <c r="A1089" s="2"/>
      <c r="E1089" s="2"/>
      <c r="O1089" s="2"/>
    </row>
    <row r="1090">
      <c r="A1090" s="2"/>
      <c r="E1090" s="2"/>
      <c r="O1090" s="2"/>
    </row>
    <row r="1091">
      <c r="A1091" s="2"/>
      <c r="E1091" s="2"/>
      <c r="O1091" s="2"/>
    </row>
    <row r="1092">
      <c r="A1092" s="2"/>
      <c r="E1092" s="2"/>
      <c r="O1092" s="2"/>
    </row>
    <row r="1093">
      <c r="A1093" s="2"/>
      <c r="E1093" s="2"/>
      <c r="O1093" s="2"/>
    </row>
    <row r="1094">
      <c r="A1094" s="2"/>
      <c r="E1094" s="2"/>
      <c r="O1094" s="2"/>
    </row>
    <row r="1095">
      <c r="A1095" s="2"/>
      <c r="E1095" s="2"/>
      <c r="O1095" s="2"/>
    </row>
    <row r="1096">
      <c r="A1096" s="2"/>
      <c r="E1096" s="2"/>
      <c r="O1096" s="2"/>
    </row>
    <row r="1097">
      <c r="A1097" s="2"/>
      <c r="E1097" s="2"/>
      <c r="O1097" s="2"/>
    </row>
    <row r="1098">
      <c r="A1098" s="2"/>
      <c r="E1098" s="2"/>
      <c r="O1098" s="2"/>
    </row>
    <row r="1099">
      <c r="A1099" s="2"/>
      <c r="E1099" s="2"/>
      <c r="O1099" s="2"/>
    </row>
    <row r="1100">
      <c r="A1100" s="2"/>
      <c r="E1100" s="2"/>
      <c r="O1100" s="2"/>
    </row>
    <row r="1101">
      <c r="A1101" s="2"/>
      <c r="E1101" s="2"/>
      <c r="O1101" s="2"/>
    </row>
    <row r="1102">
      <c r="A1102" s="2"/>
      <c r="E1102" s="2"/>
      <c r="O1102" s="2"/>
    </row>
    <row r="1103">
      <c r="A1103" s="2"/>
      <c r="E1103" s="2"/>
      <c r="O1103" s="2"/>
    </row>
    <row r="1104">
      <c r="A1104" s="2"/>
      <c r="E1104" s="2"/>
      <c r="O1104" s="2"/>
    </row>
  </sheetData>
  <hyperlinks>
    <hyperlink r:id="rId1" ref="O14"/>
  </hyperlinks>
  <drawing r:id="rId2"/>
</worksheet>
</file>