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25" firstSheet="1" activeTab="2"/>
  </bookViews>
  <sheets>
    <sheet name="ASWXL.Storage" sheetId="4" state="veryHidden" r:id="rId1"/>
    <sheet name="Cost Estimation" sheetId="1" r:id="rId2"/>
    <sheet name="Investment Analysis" sheetId="2" r:id="rId3"/>
    <sheet name="Sheet3" sheetId="3" r:id="rId4"/>
  </sheets>
  <calcPr calcId="145621"/>
</workbook>
</file>

<file path=xl/calcChain.xml><?xml version="1.0" encoding="utf-8"?>
<calcChain xmlns="http://schemas.openxmlformats.org/spreadsheetml/2006/main">
  <c r="D39" i="2" l="1"/>
  <c r="BD37" i="2"/>
  <c r="BC37" i="2"/>
  <c r="BB37" i="2"/>
  <c r="BA37" i="2"/>
  <c r="AZ37" i="2"/>
  <c r="AY37" i="2"/>
  <c r="AX37" i="2"/>
  <c r="AW37" i="2"/>
  <c r="AV37" i="2"/>
  <c r="AU37" i="2"/>
  <c r="AT37" i="2"/>
  <c r="AS37" i="2"/>
  <c r="AR37" i="2"/>
  <c r="AQ37" i="2"/>
  <c r="AP37" i="2"/>
  <c r="AO37" i="2"/>
  <c r="AN37" i="2"/>
  <c r="AM37" i="2"/>
  <c r="AL37" i="2"/>
  <c r="AK37" i="2"/>
  <c r="AJ37" i="2"/>
  <c r="AI37" i="2"/>
  <c r="AH37" i="2"/>
  <c r="AG37" i="2"/>
  <c r="AF37" i="2"/>
  <c r="AE37" i="2"/>
  <c r="AD37" i="2"/>
  <c r="AC37" i="2"/>
  <c r="AB37" i="2"/>
  <c r="AA37" i="2"/>
  <c r="Z37" i="2"/>
  <c r="Y37" i="2"/>
  <c r="X37" i="2"/>
  <c r="W37" i="2"/>
  <c r="V37" i="2"/>
  <c r="U37" i="2"/>
  <c r="T37" i="2"/>
  <c r="S37" i="2"/>
  <c r="R37" i="2"/>
  <c r="Q37" i="2"/>
  <c r="P37" i="2"/>
  <c r="O37" i="2"/>
  <c r="N37" i="2"/>
  <c r="M37" i="2"/>
  <c r="L37" i="2"/>
  <c r="K37" i="2"/>
  <c r="J37" i="2"/>
  <c r="I37" i="2"/>
  <c r="H37" i="2"/>
  <c r="G37" i="2"/>
  <c r="F37" i="2"/>
  <c r="BD33" i="2"/>
  <c r="BC33" i="2"/>
  <c r="BB33" i="2"/>
  <c r="BA33" i="2"/>
  <c r="AZ33" i="2"/>
  <c r="AY33" i="2"/>
  <c r="AX33" i="2"/>
  <c r="AW33" i="2"/>
  <c r="AV33" i="2"/>
  <c r="AU33" i="2"/>
  <c r="AT33" i="2"/>
  <c r="AS33" i="2"/>
  <c r="AR33" i="2"/>
  <c r="AQ33" i="2"/>
  <c r="AP33" i="2"/>
  <c r="AO33" i="2"/>
  <c r="AN33" i="2"/>
  <c r="AM33" i="2"/>
  <c r="AL33" i="2"/>
  <c r="AK33" i="2"/>
  <c r="AJ33" i="2"/>
  <c r="AI33" i="2"/>
  <c r="AH33" i="2"/>
  <c r="AG33" i="2"/>
  <c r="AF33" i="2"/>
  <c r="AE33" i="2"/>
  <c r="AD33" i="2"/>
  <c r="AC33" i="2"/>
  <c r="AB33" i="2"/>
  <c r="AA33" i="2"/>
  <c r="Z33" i="2"/>
  <c r="Y33" i="2"/>
  <c r="X33" i="2"/>
  <c r="W33" i="2"/>
  <c r="V33" i="2"/>
  <c r="U33" i="2"/>
  <c r="T33" i="2"/>
  <c r="S33" i="2"/>
  <c r="R33" i="2"/>
  <c r="Q33" i="2"/>
  <c r="P33" i="2"/>
  <c r="O33" i="2"/>
  <c r="N33" i="2"/>
  <c r="M33" i="2"/>
  <c r="L33" i="2"/>
  <c r="K33" i="2"/>
  <c r="J33" i="2"/>
  <c r="I33" i="2"/>
  <c r="H33" i="2"/>
  <c r="G33" i="2"/>
  <c r="F33" i="2"/>
  <c r="BD29" i="2"/>
  <c r="BC29" i="2"/>
  <c r="BB29" i="2"/>
  <c r="BA29" i="2"/>
  <c r="AZ29" i="2"/>
  <c r="AY29" i="2"/>
  <c r="AX29" i="2"/>
  <c r="AW29" i="2"/>
  <c r="AV29" i="2"/>
  <c r="AU29" i="2"/>
  <c r="AT29" i="2"/>
  <c r="AS29" i="2"/>
  <c r="AR29" i="2"/>
  <c r="AQ29" i="2"/>
  <c r="AP29" i="2"/>
  <c r="AO29" i="2"/>
  <c r="AN29" i="2"/>
  <c r="AM29" i="2"/>
  <c r="AL29" i="2"/>
  <c r="AK29" i="2"/>
  <c r="AJ29" i="2"/>
  <c r="AI29" i="2"/>
  <c r="AH29" i="2"/>
  <c r="AG29" i="2"/>
  <c r="AF29" i="2"/>
  <c r="AE29" i="2"/>
  <c r="AD29" i="2"/>
  <c r="AC29" i="2"/>
  <c r="AB29" i="2"/>
  <c r="AA29" i="2"/>
  <c r="Z29" i="2"/>
  <c r="Y29" i="2"/>
  <c r="X29" i="2"/>
  <c r="W29" i="2"/>
  <c r="V29" i="2"/>
  <c r="U29" i="2"/>
  <c r="T29" i="2"/>
  <c r="S29" i="2"/>
  <c r="R29" i="2"/>
  <c r="Q29" i="2"/>
  <c r="P29" i="2"/>
  <c r="O29" i="2"/>
  <c r="N29" i="2"/>
  <c r="M29" i="2"/>
  <c r="L29" i="2"/>
  <c r="K29" i="2"/>
  <c r="J29" i="2"/>
  <c r="I29" i="2"/>
  <c r="H29" i="2"/>
  <c r="G29" i="2"/>
  <c r="F29" i="2"/>
  <c r="BD10" i="2"/>
  <c r="BC10" i="2"/>
  <c r="BB10" i="2"/>
  <c r="BA10" i="2"/>
  <c r="AZ10" i="2"/>
  <c r="AY10" i="2"/>
  <c r="AX10" i="2"/>
  <c r="AW10" i="2"/>
  <c r="AV10" i="2"/>
  <c r="AU10" i="2"/>
  <c r="AT10" i="2"/>
  <c r="AS10" i="2"/>
  <c r="AR10" i="2"/>
  <c r="AQ10" i="2"/>
  <c r="AP10" i="2"/>
  <c r="AO10" i="2"/>
  <c r="AN10" i="2"/>
  <c r="AM10" i="2"/>
  <c r="AL10" i="2"/>
  <c r="AK10" i="2"/>
  <c r="AJ10" i="2"/>
  <c r="AI10" i="2"/>
  <c r="AH10" i="2"/>
  <c r="AG10" i="2"/>
  <c r="AF10" i="2"/>
  <c r="AE10" i="2"/>
  <c r="AD10" i="2"/>
  <c r="AC10" i="2"/>
  <c r="AB10" i="2"/>
  <c r="AA10" i="2"/>
  <c r="Z10" i="2"/>
  <c r="Y10" i="2"/>
  <c r="X10" i="2"/>
  <c r="W10" i="2"/>
  <c r="V10" i="2"/>
  <c r="U10" i="2"/>
  <c r="T10" i="2"/>
  <c r="S10" i="2"/>
  <c r="R10" i="2"/>
  <c r="Q10" i="2"/>
  <c r="P10" i="2"/>
  <c r="O10" i="2"/>
  <c r="N10" i="2"/>
  <c r="M10" i="2"/>
  <c r="L10" i="2"/>
  <c r="K10" i="2"/>
  <c r="J10" i="2"/>
  <c r="I10" i="2"/>
  <c r="H10" i="2"/>
  <c r="G10" i="2"/>
  <c r="B275" i="1"/>
  <c r="B280" i="1" s="1"/>
  <c r="B274" i="1"/>
  <c r="B273" i="1"/>
  <c r="B253" i="1"/>
  <c r="B254" i="1" s="1"/>
  <c r="B255" i="1" s="1"/>
  <c r="B256" i="1" s="1"/>
  <c r="B248" i="1"/>
  <c r="B249" i="1" s="1"/>
  <c r="B247" i="1"/>
  <c r="B240" i="1"/>
  <c r="B234" i="1"/>
  <c r="B236" i="1" s="1"/>
  <c r="B223" i="1"/>
  <c r="B225" i="1" s="1"/>
  <c r="B227" i="1" s="1"/>
  <c r="B183" i="1"/>
  <c r="B170" i="1"/>
  <c r="B163" i="1"/>
  <c r="B184" i="1" s="1"/>
  <c r="B162" i="1"/>
  <c r="B161" i="1"/>
  <c r="B182" i="1" s="1"/>
  <c r="B160" i="1"/>
  <c r="B159" i="1"/>
  <c r="B158" i="1"/>
  <c r="B157" i="1"/>
  <c r="B156" i="1"/>
  <c r="B155" i="1"/>
  <c r="B154" i="1"/>
  <c r="B153" i="1"/>
  <c r="B152" i="1"/>
  <c r="B173" i="1" s="1"/>
  <c r="B151" i="1"/>
  <c r="B172" i="1" s="1"/>
  <c r="B150" i="1"/>
  <c r="B171" i="1" s="1"/>
  <c r="B149" i="1"/>
  <c r="B148" i="1"/>
  <c r="B136" i="1"/>
  <c r="B186" i="1" s="1"/>
  <c r="A136" i="1"/>
  <c r="A131" i="1"/>
  <c r="A124" i="1"/>
  <c r="B120" i="1"/>
  <c r="B124" i="1" s="1"/>
  <c r="B185" i="1" s="1"/>
  <c r="A117" i="1"/>
  <c r="B114" i="1"/>
  <c r="B117" i="1" s="1"/>
  <c r="A111" i="1"/>
  <c r="B108" i="1"/>
  <c r="A105" i="1"/>
  <c r="B102" i="1"/>
  <c r="B99" i="1"/>
  <c r="B181" i="1" s="1"/>
  <c r="A99" i="1"/>
  <c r="B96" i="1"/>
  <c r="B93" i="1"/>
  <c r="B180" i="1" s="1"/>
  <c r="A93" i="1"/>
  <c r="B90" i="1"/>
  <c r="A87" i="1"/>
  <c r="B84" i="1"/>
  <c r="B87" i="1" s="1"/>
  <c r="B179" i="1" s="1"/>
  <c r="A81" i="1"/>
  <c r="B78" i="1"/>
  <c r="B81" i="1" s="1"/>
  <c r="B178" i="1" s="1"/>
  <c r="A75" i="1"/>
  <c r="B72" i="1"/>
  <c r="B75" i="1" s="1"/>
  <c r="B177" i="1" s="1"/>
  <c r="A67" i="1"/>
  <c r="B64" i="1"/>
  <c r="B67" i="1" s="1"/>
  <c r="B176" i="1" s="1"/>
  <c r="B59" i="1"/>
  <c r="B175" i="1" s="1"/>
  <c r="A59" i="1"/>
  <c r="B56" i="1"/>
  <c r="A51" i="1"/>
  <c r="B47" i="1"/>
  <c r="B50" i="1" s="1"/>
  <c r="B51" i="1" s="1"/>
  <c r="B174" i="1" s="1"/>
  <c r="B45" i="1"/>
  <c r="A40" i="1"/>
  <c r="B37" i="1"/>
  <c r="B32" i="1"/>
  <c r="A32" i="1"/>
  <c r="B24" i="1"/>
  <c r="A24" i="1"/>
  <c r="B16" i="1"/>
  <c r="A16" i="1"/>
  <c r="B8" i="1"/>
  <c r="B169" i="1" s="1"/>
  <c r="A8" i="1"/>
  <c r="B190" i="1" l="1"/>
  <c r="B286" i="1"/>
  <c r="B277" i="1"/>
  <c r="B278" i="1" s="1"/>
  <c r="B279" i="1" s="1"/>
  <c r="B281" i="1" s="1"/>
  <c r="D15" i="2" s="1"/>
  <c r="B242" i="1"/>
  <c r="B243" i="1" s="1"/>
  <c r="B259" i="1" s="1"/>
  <c r="D16" i="2" s="1"/>
  <c r="AY16" i="2" l="1"/>
  <c r="AI16" i="2"/>
  <c r="S16" i="2"/>
  <c r="AX16" i="2"/>
  <c r="AH16" i="2"/>
  <c r="R16" i="2"/>
  <c r="BB16" i="2"/>
  <c r="AJ16" i="2"/>
  <c r="P16" i="2"/>
  <c r="BA16" i="2"/>
  <c r="AG16" i="2"/>
  <c r="O16" i="2"/>
  <c r="AZ16" i="2"/>
  <c r="AF16" i="2"/>
  <c r="N16" i="2"/>
  <c r="AV16" i="2"/>
  <c r="Z16" i="2"/>
  <c r="AP16" i="2"/>
  <c r="AW16" i="2"/>
  <c r="L16" i="2"/>
  <c r="AA16" i="2"/>
  <c r="M16" i="2"/>
  <c r="I16" i="2"/>
  <c r="AE16" i="2"/>
  <c r="AD16" i="2"/>
  <c r="H16" i="2"/>
  <c r="AU16" i="2"/>
  <c r="AC16" i="2"/>
  <c r="K16" i="2"/>
  <c r="AT16" i="2"/>
  <c r="AB16" i="2"/>
  <c r="J16" i="2"/>
  <c r="AS16" i="2"/>
  <c r="X16" i="2"/>
  <c r="AR16" i="2"/>
  <c r="AQ16" i="2"/>
  <c r="Y16" i="2"/>
  <c r="G16" i="2"/>
  <c r="AN16" i="2"/>
  <c r="V16" i="2"/>
  <c r="AM16" i="2"/>
  <c r="U16" i="2"/>
  <c r="BD16" i="2"/>
  <c r="AL16" i="2"/>
  <c r="T16" i="2"/>
  <c r="BC16" i="2"/>
  <c r="Q16" i="2"/>
  <c r="AK16" i="2"/>
  <c r="AO16" i="2"/>
  <c r="W16" i="2"/>
  <c r="BB15" i="2"/>
  <c r="BB17" i="2" s="1"/>
  <c r="AL15" i="2"/>
  <c r="V15" i="2"/>
  <c r="BA15" i="2"/>
  <c r="U15" i="2"/>
  <c r="AW15" i="2"/>
  <c r="AW17" i="2" s="1"/>
  <c r="AF15" i="2"/>
  <c r="N15" i="2"/>
  <c r="AV15" i="2"/>
  <c r="AE15" i="2"/>
  <c r="AE17" i="2" s="1"/>
  <c r="M15" i="2"/>
  <c r="M17" i="2" s="1"/>
  <c r="AD15" i="2"/>
  <c r="AD17" i="2" s="1"/>
  <c r="L15" i="2"/>
  <c r="L17" i="2" s="1"/>
  <c r="AT15" i="2"/>
  <c r="AT17" i="2" s="1"/>
  <c r="AS15" i="2"/>
  <c r="AS17" i="2" s="1"/>
  <c r="J15" i="2"/>
  <c r="G15" i="2"/>
  <c r="G17" i="2" s="1"/>
  <c r="X15" i="2"/>
  <c r="T15" i="2"/>
  <c r="K15" i="2"/>
  <c r="I15" i="2"/>
  <c r="I17" i="2" s="1"/>
  <c r="AC15" i="2"/>
  <c r="AP15" i="2"/>
  <c r="AP17" i="2" s="1"/>
  <c r="AB15" i="2"/>
  <c r="AR15" i="2"/>
  <c r="AO15" i="2"/>
  <c r="AO17" i="2" s="1"/>
  <c r="W15" i="2"/>
  <c r="W17" i="2" s="1"/>
  <c r="AQ15" i="2"/>
  <c r="AQ17" i="2" s="1"/>
  <c r="Z15" i="2"/>
  <c r="Z17" i="2" s="1"/>
  <c r="H15" i="2"/>
  <c r="H17" i="2" s="1"/>
  <c r="Y15" i="2"/>
  <c r="Y17" i="2" s="1"/>
  <c r="AN15" i="2"/>
  <c r="AN17" i="2" s="1"/>
  <c r="AM15" i="2"/>
  <c r="BC15" i="2"/>
  <c r="AJ15" i="2"/>
  <c r="R15" i="2"/>
  <c r="R17" i="2" s="1"/>
  <c r="AZ15" i="2"/>
  <c r="AI15" i="2"/>
  <c r="AI17" i="2" s="1"/>
  <c r="Q15" i="2"/>
  <c r="AY15" i="2"/>
  <c r="AY17" i="2" s="1"/>
  <c r="AH15" i="2"/>
  <c r="P15" i="2"/>
  <c r="P17" i="2" s="1"/>
  <c r="AX15" i="2"/>
  <c r="AX17" i="2" s="1"/>
  <c r="AG15" i="2"/>
  <c r="AG17" i="2" s="1"/>
  <c r="O15" i="2"/>
  <c r="O17" i="2" s="1"/>
  <c r="BD15" i="2"/>
  <c r="BD17" i="2" s="1"/>
  <c r="S15" i="2"/>
  <c r="S17" i="2" s="1"/>
  <c r="B127" i="1"/>
  <c r="B131" i="1" s="1"/>
  <c r="B192" i="1" s="1"/>
  <c r="B193" i="1" s="1"/>
  <c r="B191" i="1"/>
  <c r="D4" i="2" l="1"/>
  <c r="F12" i="2" s="1"/>
  <c r="B287" i="1"/>
  <c r="B288" i="1" s="1"/>
  <c r="D5" i="2" s="1"/>
  <c r="F13" i="2" s="1"/>
  <c r="AH17" i="2"/>
  <c r="AK15" i="2"/>
  <c r="AK17" i="2" s="1"/>
  <c r="N17" i="2"/>
  <c r="AF17" i="2"/>
  <c r="AU15" i="2"/>
  <c r="AU17" i="2" s="1"/>
  <c r="AR17" i="2"/>
  <c r="AZ17" i="2"/>
  <c r="U17" i="2"/>
  <c r="K17" i="2"/>
  <c r="BA17" i="2"/>
  <c r="AJ17" i="2"/>
  <c r="T17" i="2"/>
  <c r="V17" i="2"/>
  <c r="BC17" i="2"/>
  <c r="AA15" i="2"/>
  <c r="AA17" i="2" s="1"/>
  <c r="X17" i="2"/>
  <c r="AL17" i="2"/>
  <c r="AM17" i="2"/>
  <c r="AV17" i="2"/>
  <c r="AB17" i="2"/>
  <c r="Q17" i="2"/>
  <c r="AC17" i="2"/>
  <c r="J17" i="2"/>
  <c r="AV20" i="2" l="1"/>
  <c r="AL20" i="2"/>
  <c r="X20" i="2"/>
  <c r="AU19" i="2"/>
  <c r="AU24" i="2" s="1"/>
  <c r="AE19" i="2"/>
  <c r="O19" i="2"/>
  <c r="AT19" i="2"/>
  <c r="AD19" i="2"/>
  <c r="N19" i="2"/>
  <c r="N24" i="2" s="1"/>
  <c r="AR19" i="2"/>
  <c r="AR24" i="2" s="1"/>
  <c r="Z19" i="2"/>
  <c r="H19" i="2"/>
  <c r="AQ19" i="2"/>
  <c r="Y19" i="2"/>
  <c r="G19" i="2"/>
  <c r="AP19" i="2"/>
  <c r="X19" i="2"/>
  <c r="X24" i="2" s="1"/>
  <c r="W19" i="2"/>
  <c r="V19" i="2"/>
  <c r="V24" i="2" s="1"/>
  <c r="BC19" i="2"/>
  <c r="BC24" i="2" s="1"/>
  <c r="AH19" i="2"/>
  <c r="AH24" i="2" s="1"/>
  <c r="AJ19" i="2"/>
  <c r="AJ24" i="2" s="1"/>
  <c r="F26" i="2"/>
  <c r="AO19" i="2"/>
  <c r="AN19" i="2"/>
  <c r="S19" i="2"/>
  <c r="P19" i="2"/>
  <c r="AM19" i="2"/>
  <c r="AM24" i="2" s="1"/>
  <c r="U19" i="2"/>
  <c r="U24" i="2" s="1"/>
  <c r="AK19" i="2"/>
  <c r="AK24" i="2" s="1"/>
  <c r="R19" i="2"/>
  <c r="BD19" i="2"/>
  <c r="AL19" i="2"/>
  <c r="AL24" i="2" s="1"/>
  <c r="T19" i="2"/>
  <c r="T24" i="2" s="1"/>
  <c r="AZ19" i="2"/>
  <c r="AZ24" i="2" s="1"/>
  <c r="F25" i="2"/>
  <c r="BB19" i="2"/>
  <c r="BA19" i="2"/>
  <c r="BA24" i="2" s="1"/>
  <c r="AI19" i="2"/>
  <c r="Q19" i="2"/>
  <c r="Q24" i="2" s="1"/>
  <c r="AX19" i="2"/>
  <c r="AF19" i="2"/>
  <c r="AF24" i="2" s="1"/>
  <c r="L19" i="2"/>
  <c r="AW19" i="2"/>
  <c r="AC19" i="2"/>
  <c r="AC24" i="2" s="1"/>
  <c r="K19" i="2"/>
  <c r="K24" i="2" s="1"/>
  <c r="AV19" i="2"/>
  <c r="AV24" i="2" s="1"/>
  <c r="AB19" i="2"/>
  <c r="AB24" i="2" s="1"/>
  <c r="J19" i="2"/>
  <c r="J24" i="2" s="1"/>
  <c r="AS19" i="2"/>
  <c r="I19" i="2"/>
  <c r="AA19" i="2"/>
  <c r="AA24" i="2" s="1"/>
  <c r="M19" i="2"/>
  <c r="AY19" i="2"/>
  <c r="AG19" i="2"/>
  <c r="Z24" i="2" l="1"/>
  <c r="Z20" i="2"/>
  <c r="N20" i="2"/>
  <c r="Q20" i="2"/>
  <c r="P24" i="2"/>
  <c r="P20" i="2"/>
  <c r="AF20" i="2"/>
  <c r="L24" i="2"/>
  <c r="L20" i="2"/>
  <c r="O24" i="2"/>
  <c r="O20" i="2"/>
  <c r="AH20" i="2"/>
  <c r="AM20" i="2"/>
  <c r="AN24" i="2"/>
  <c r="AN20" i="2"/>
  <c r="BA20" i="2"/>
  <c r="AI24" i="2"/>
  <c r="AI20" i="2"/>
  <c r="BB24" i="2"/>
  <c r="BB20" i="2"/>
  <c r="AE24" i="2"/>
  <c r="AE20" i="2"/>
  <c r="I24" i="2"/>
  <c r="I20" i="2"/>
  <c r="J20" i="2"/>
  <c r="AB20" i="2"/>
  <c r="X21" i="2"/>
  <c r="X22" i="2" s="1"/>
  <c r="X25" i="2" s="1"/>
  <c r="AV21" i="2"/>
  <c r="AV22" i="2" s="1"/>
  <c r="AV25" i="2" s="1"/>
  <c r="AY24" i="2"/>
  <c r="AY20" i="2"/>
  <c r="AS24" i="2"/>
  <c r="AS20" i="2"/>
  <c r="W24" i="2"/>
  <c r="W20" i="2"/>
  <c r="AZ20" i="2"/>
  <c r="AK20" i="2"/>
  <c r="AG24" i="2"/>
  <c r="AG20" i="2"/>
  <c r="AW24" i="2"/>
  <c r="AW20" i="2"/>
  <c r="AX24" i="2"/>
  <c r="AX20" i="2"/>
  <c r="AO24" i="2"/>
  <c r="AO20" i="2"/>
  <c r="AT24" i="2"/>
  <c r="AT20" i="2"/>
  <c r="M24" i="2"/>
  <c r="M20" i="2"/>
  <c r="BC20" i="2"/>
  <c r="BD24" i="2"/>
  <c r="BD20" i="2"/>
  <c r="AP24" i="2"/>
  <c r="AP20" i="2"/>
  <c r="AA20" i="2"/>
  <c r="V20" i="2"/>
  <c r="H24" i="2"/>
  <c r="H20" i="2"/>
  <c r="AD24" i="2"/>
  <c r="AD20" i="2"/>
  <c r="F38" i="2"/>
  <c r="F30" i="2"/>
  <c r="F34" i="2"/>
  <c r="AC20" i="2"/>
  <c r="R24" i="2"/>
  <c r="R20" i="2"/>
  <c r="G24" i="2"/>
  <c r="G20" i="2"/>
  <c r="K20" i="2"/>
  <c r="AU20" i="2"/>
  <c r="AL21" i="2"/>
  <c r="AL22" i="2" s="1"/>
  <c r="AL25" i="2" s="1"/>
  <c r="Y24" i="2"/>
  <c r="Y20" i="2"/>
  <c r="AJ20" i="2"/>
  <c r="T20" i="2"/>
  <c r="S24" i="2"/>
  <c r="S20" i="2"/>
  <c r="AQ24" i="2"/>
  <c r="AQ20" i="2"/>
  <c r="U20" i="2"/>
  <c r="AR20" i="2"/>
  <c r="AV34" i="2" l="1"/>
  <c r="AV38" i="2"/>
  <c r="AV30" i="2"/>
  <c r="X30" i="2"/>
  <c r="X38" i="2"/>
  <c r="X34" i="2"/>
  <c r="AL38" i="2"/>
  <c r="AL34" i="2"/>
  <c r="AL30" i="2"/>
  <c r="AH21" i="2"/>
  <c r="AH22" i="2"/>
  <c r="AH25" i="2" s="1"/>
  <c r="Y21" i="2"/>
  <c r="Y22" i="2" s="1"/>
  <c r="Y25" i="2" s="1"/>
  <c r="AB21" i="2"/>
  <c r="AB22" i="2"/>
  <c r="AB25" i="2" s="1"/>
  <c r="AM21" i="2"/>
  <c r="AM22" i="2" s="1"/>
  <c r="AM25" i="2" s="1"/>
  <c r="L21" i="2"/>
  <c r="L22" i="2" s="1"/>
  <c r="L25" i="2" s="1"/>
  <c r="AF21" i="2"/>
  <c r="AF22" i="2"/>
  <c r="AF25" i="2" s="1"/>
  <c r="AD21" i="2"/>
  <c r="AD22" i="2" s="1"/>
  <c r="AD25" i="2" s="1"/>
  <c r="AG21" i="2"/>
  <c r="AG22" i="2"/>
  <c r="AG25" i="2" s="1"/>
  <c r="K21" i="2"/>
  <c r="K22" i="2" s="1"/>
  <c r="K25" i="2" s="1"/>
  <c r="AK22" i="2"/>
  <c r="AK25" i="2" s="1"/>
  <c r="AK21" i="2"/>
  <c r="AE21" i="2"/>
  <c r="AE22" i="2" s="1"/>
  <c r="AE25" i="2" s="1"/>
  <c r="O21" i="2"/>
  <c r="O22" i="2" s="1"/>
  <c r="O25" i="2" s="1"/>
  <c r="I21" i="2"/>
  <c r="I22" i="2" s="1"/>
  <c r="I25" i="2" s="1"/>
  <c r="BD21" i="2"/>
  <c r="BD22" i="2" s="1"/>
  <c r="BD25" i="2" s="1"/>
  <c r="AZ21" i="2"/>
  <c r="AZ22" i="2"/>
  <c r="AZ25" i="2" s="1"/>
  <c r="P21" i="2"/>
  <c r="P22" i="2"/>
  <c r="P25" i="2" s="1"/>
  <c r="S21" i="2"/>
  <c r="S22" i="2" s="1"/>
  <c r="S25" i="2" s="1"/>
  <c r="AX21" i="2"/>
  <c r="AX22" i="2" s="1"/>
  <c r="AX25" i="2" s="1"/>
  <c r="W22" i="2"/>
  <c r="W25" i="2" s="1"/>
  <c r="W21" i="2"/>
  <c r="BB21" i="2"/>
  <c r="BB22" i="2" s="1"/>
  <c r="BB25" i="2" s="1"/>
  <c r="AO21" i="2"/>
  <c r="AO22" i="2" s="1"/>
  <c r="AO25" i="2" s="1"/>
  <c r="H21" i="2"/>
  <c r="H22" i="2" s="1"/>
  <c r="H25" i="2" s="1"/>
  <c r="V21" i="2"/>
  <c r="V22" i="2" s="1"/>
  <c r="V25" i="2" s="1"/>
  <c r="AU21" i="2"/>
  <c r="AU22" i="2"/>
  <c r="AU25" i="2" s="1"/>
  <c r="G21" i="2"/>
  <c r="G22" i="2"/>
  <c r="G25" i="2" s="1"/>
  <c r="AR21" i="2"/>
  <c r="AR22" i="2" s="1"/>
  <c r="AR25" i="2" s="1"/>
  <c r="R21" i="2"/>
  <c r="R22" i="2" s="1"/>
  <c r="R25" i="2" s="1"/>
  <c r="BC22" i="2"/>
  <c r="BC25" i="2" s="1"/>
  <c r="BC21" i="2"/>
  <c r="Q21" i="2"/>
  <c r="Q22" i="2"/>
  <c r="Q25" i="2" s="1"/>
  <c r="AN21" i="2"/>
  <c r="AN22" i="2" s="1"/>
  <c r="AN25" i="2" s="1"/>
  <c r="T21" i="2"/>
  <c r="T22" i="2" s="1"/>
  <c r="T25" i="2" s="1"/>
  <c r="AJ21" i="2"/>
  <c r="AJ22" i="2"/>
  <c r="AJ25" i="2" s="1"/>
  <c r="AW21" i="2"/>
  <c r="AW22" i="2"/>
  <c r="AW25" i="2" s="1"/>
  <c r="AA21" i="2"/>
  <c r="AA22" i="2" s="1"/>
  <c r="AA25" i="2" s="1"/>
  <c r="U22" i="2"/>
  <c r="U25" i="2" s="1"/>
  <c r="U21" i="2"/>
  <c r="M21" i="2"/>
  <c r="M22" i="2" s="1"/>
  <c r="M25" i="2" s="1"/>
  <c r="AS21" i="2"/>
  <c r="AS22" i="2"/>
  <c r="AS25" i="2" s="1"/>
  <c r="AI21" i="2"/>
  <c r="AI22" i="2" s="1"/>
  <c r="AI25" i="2" s="1"/>
  <c r="N21" i="2"/>
  <c r="N22" i="2"/>
  <c r="N25" i="2" s="1"/>
  <c r="AP21" i="2"/>
  <c r="AP22" i="2"/>
  <c r="AP25" i="2" s="1"/>
  <c r="AQ21" i="2"/>
  <c r="AQ22" i="2"/>
  <c r="AQ25" i="2" s="1"/>
  <c r="AC21" i="2"/>
  <c r="AC22" i="2" s="1"/>
  <c r="AC25" i="2" s="1"/>
  <c r="Z21" i="2"/>
  <c r="Z22" i="2" s="1"/>
  <c r="Z25" i="2" s="1"/>
  <c r="J21" i="2"/>
  <c r="J22" i="2" s="1"/>
  <c r="J25" i="2" s="1"/>
  <c r="AT21" i="2"/>
  <c r="AT22" i="2"/>
  <c r="AT25" i="2" s="1"/>
  <c r="AY21" i="2"/>
  <c r="AY22" i="2"/>
  <c r="AY25" i="2" s="1"/>
  <c r="BA21" i="2"/>
  <c r="BA22" i="2"/>
  <c r="BA25" i="2" s="1"/>
  <c r="AI34" i="2" l="1"/>
  <c r="AI30" i="2"/>
  <c r="AI38" i="2"/>
  <c r="R34" i="2"/>
  <c r="R30" i="2"/>
  <c r="R38" i="2"/>
  <c r="BD38" i="2"/>
  <c r="BD34" i="2"/>
  <c r="BD30" i="2"/>
  <c r="AE34" i="2"/>
  <c r="AE38" i="2"/>
  <c r="AE30" i="2"/>
  <c r="AO38" i="2"/>
  <c r="AO30" i="2"/>
  <c r="AO34" i="2"/>
  <c r="M38" i="2"/>
  <c r="M34" i="2"/>
  <c r="M30" i="2"/>
  <c r="O38" i="2"/>
  <c r="O34" i="2"/>
  <c r="O30" i="2"/>
  <c r="BB38" i="2"/>
  <c r="BB30" i="2"/>
  <c r="BB34" i="2"/>
  <c r="AR30" i="2"/>
  <c r="AR34" i="2"/>
  <c r="AR38" i="2"/>
  <c r="I38" i="2"/>
  <c r="I34" i="2"/>
  <c r="I30" i="2"/>
  <c r="V38" i="2"/>
  <c r="V30" i="2"/>
  <c r="V34" i="2"/>
  <c r="AC34" i="2"/>
  <c r="AC30" i="2"/>
  <c r="AC38" i="2"/>
  <c r="T38" i="2"/>
  <c r="T34" i="2"/>
  <c r="T30" i="2"/>
  <c r="AM38" i="2"/>
  <c r="AM34" i="2"/>
  <c r="AM30" i="2"/>
  <c r="Y38" i="2"/>
  <c r="Y34" i="2"/>
  <c r="Y30" i="2"/>
  <c r="AA38" i="2"/>
  <c r="AA30" i="2"/>
  <c r="AA34" i="2"/>
  <c r="H38" i="2"/>
  <c r="H34" i="2"/>
  <c r="H30" i="2"/>
  <c r="AN38" i="2"/>
  <c r="AN30" i="2"/>
  <c r="AN34" i="2"/>
  <c r="AD34" i="2"/>
  <c r="AD38" i="2"/>
  <c r="AD30" i="2"/>
  <c r="K38" i="2"/>
  <c r="K30" i="2"/>
  <c r="K34" i="2"/>
  <c r="AX34" i="2"/>
  <c r="AX38" i="2"/>
  <c r="AX30" i="2"/>
  <c r="L38" i="2"/>
  <c r="L34" i="2"/>
  <c r="L30" i="2"/>
  <c r="J38" i="2"/>
  <c r="J30" i="2"/>
  <c r="J34" i="2"/>
  <c r="Z38" i="2"/>
  <c r="Z30" i="2"/>
  <c r="Z34" i="2"/>
  <c r="S34" i="2"/>
  <c r="S38" i="2"/>
  <c r="S30" i="2"/>
  <c r="AH34" i="2"/>
  <c r="AH38" i="2"/>
  <c r="AH30" i="2"/>
  <c r="U38" i="2"/>
  <c r="U34" i="2"/>
  <c r="U30" i="2"/>
  <c r="AJ30" i="2"/>
  <c r="AJ38" i="2"/>
  <c r="AJ34" i="2"/>
  <c r="BA38" i="2"/>
  <c r="BA34" i="2"/>
  <c r="BA30" i="2"/>
  <c r="AW34" i="2"/>
  <c r="AW38" i="2"/>
  <c r="AW30" i="2"/>
  <c r="AQ38" i="2"/>
  <c r="AQ30" i="2"/>
  <c r="AQ34" i="2"/>
  <c r="P30" i="2"/>
  <c r="P38" i="2"/>
  <c r="P34" i="2"/>
  <c r="AZ38" i="2"/>
  <c r="AZ34" i="2"/>
  <c r="AZ30" i="2"/>
  <c r="AB34" i="2"/>
  <c r="AB38" i="2"/>
  <c r="AB30" i="2"/>
  <c r="N38" i="2"/>
  <c r="N34" i="2"/>
  <c r="N30" i="2"/>
  <c r="AY34" i="2"/>
  <c r="AY38" i="2"/>
  <c r="AY30" i="2"/>
  <c r="AF34" i="2"/>
  <c r="AF38" i="2"/>
  <c r="AF30" i="2"/>
  <c r="AG34" i="2"/>
  <c r="AG38" i="2"/>
  <c r="AG30" i="2"/>
  <c r="AS34" i="2"/>
  <c r="AS38" i="2"/>
  <c r="AS30" i="2"/>
  <c r="AK38" i="2"/>
  <c r="AK34" i="2"/>
  <c r="AK30" i="2"/>
  <c r="Q30" i="2"/>
  <c r="Q38" i="2"/>
  <c r="Q34" i="2"/>
  <c r="W30" i="2"/>
  <c r="W38" i="2"/>
  <c r="W34" i="2"/>
  <c r="G38" i="2"/>
  <c r="G34" i="2"/>
  <c r="BE34" i="2" s="1"/>
  <c r="F35" i="2" s="1"/>
  <c r="G30" i="2"/>
  <c r="G26" i="2"/>
  <c r="H26" i="2" s="1"/>
  <c r="I26" i="2" s="1"/>
  <c r="J26" i="2" s="1"/>
  <c r="K26" i="2" s="1"/>
  <c r="L26" i="2" s="1"/>
  <c r="M26" i="2" s="1"/>
  <c r="N26" i="2" s="1"/>
  <c r="O26" i="2" s="1"/>
  <c r="P26" i="2" s="1"/>
  <c r="Q26" i="2" s="1"/>
  <c r="R26" i="2" s="1"/>
  <c r="S26" i="2" s="1"/>
  <c r="T26" i="2" s="1"/>
  <c r="U26" i="2" s="1"/>
  <c r="V26" i="2" s="1"/>
  <c r="W26" i="2" s="1"/>
  <c r="X26" i="2" s="1"/>
  <c r="Y26" i="2" s="1"/>
  <c r="Z26" i="2" s="1"/>
  <c r="AA26" i="2" s="1"/>
  <c r="AB26" i="2" s="1"/>
  <c r="AC26" i="2" s="1"/>
  <c r="AD26" i="2" s="1"/>
  <c r="AE26" i="2" s="1"/>
  <c r="AF26" i="2" s="1"/>
  <c r="AG26" i="2" s="1"/>
  <c r="AH26" i="2" s="1"/>
  <c r="AI26" i="2" s="1"/>
  <c r="AJ26" i="2" s="1"/>
  <c r="AK26" i="2" s="1"/>
  <c r="AL26" i="2" s="1"/>
  <c r="AM26" i="2" s="1"/>
  <c r="AN26" i="2" s="1"/>
  <c r="AO26" i="2" s="1"/>
  <c r="AP26" i="2" s="1"/>
  <c r="AQ26" i="2" s="1"/>
  <c r="AR26" i="2" s="1"/>
  <c r="AS26" i="2" s="1"/>
  <c r="AT26" i="2" s="1"/>
  <c r="AU26" i="2" s="1"/>
  <c r="AV26" i="2" s="1"/>
  <c r="AW26" i="2" s="1"/>
  <c r="AX26" i="2" s="1"/>
  <c r="AY26" i="2" s="1"/>
  <c r="AZ26" i="2" s="1"/>
  <c r="BA26" i="2" s="1"/>
  <c r="BB26" i="2" s="1"/>
  <c r="BC26" i="2" s="1"/>
  <c r="BD26" i="2" s="1"/>
  <c r="AU30" i="2"/>
  <c r="AU34" i="2"/>
  <c r="AU38" i="2"/>
  <c r="BC38" i="2"/>
  <c r="BC34" i="2"/>
  <c r="BC30" i="2"/>
  <c r="AP38" i="2"/>
  <c r="AP30" i="2"/>
  <c r="AP34" i="2"/>
  <c r="AT34" i="2"/>
  <c r="AT38" i="2"/>
  <c r="AT30" i="2"/>
  <c r="BE38" i="2" l="1"/>
  <c r="D40" i="2" s="1"/>
  <c r="BE30" i="2"/>
  <c r="F31" i="2" s="1"/>
</calcChain>
</file>

<file path=xl/sharedStrings.xml><?xml version="1.0" encoding="utf-8"?>
<sst xmlns="http://schemas.openxmlformats.org/spreadsheetml/2006/main" count="273" uniqueCount="145">
  <si>
    <t>Boiler</t>
  </si>
  <si>
    <t>HP Turbine</t>
  </si>
  <si>
    <t>IP Turbine</t>
  </si>
  <si>
    <t>LP Turbine</t>
  </si>
  <si>
    <t>Vacuum Condenser</t>
  </si>
  <si>
    <t>CO2 Cooler</t>
  </si>
  <si>
    <t>LP CO2 Cooler</t>
  </si>
  <si>
    <t>IP CO2 Cooler</t>
  </si>
  <si>
    <t>LP CO2 Compressor</t>
  </si>
  <si>
    <t>IP CO2 Compressor</t>
  </si>
  <si>
    <t>HP CO2 Pump</t>
  </si>
  <si>
    <t>Main Water Pump</t>
  </si>
  <si>
    <t>LP Water Pump</t>
  </si>
  <si>
    <t>District Heat Water Pump</t>
  </si>
  <si>
    <t>Seawater Pump</t>
  </si>
  <si>
    <t>C1</t>
  </si>
  <si>
    <t>ASWXL Storage Version 25.0.0.1</t>
  </si>
  <si>
    <t>C:\Program Files (x86)\AspenTech\Aspen Simulation Workbook V7.3</t>
  </si>
  <si>
    <t>S2 [MW]</t>
  </si>
  <si>
    <t>S1 [MW]</t>
  </si>
  <si>
    <t>C2 = C1(S2/S1)^0.67*(I2/I1)</t>
  </si>
  <si>
    <t>I2</t>
  </si>
  <si>
    <t>I1</t>
  </si>
  <si>
    <t>District Heat Exchanger</t>
  </si>
  <si>
    <t>UA [W/K]</t>
  </si>
  <si>
    <t>U [W/m2 K]</t>
  </si>
  <si>
    <t>A [m2]</t>
  </si>
  <si>
    <t>(24000+46*A^1.2)*(I2/I1)</t>
  </si>
  <si>
    <t>(490000+16800*P^0.6)*(I2/I1)</t>
  </si>
  <si>
    <t>P [kW]</t>
  </si>
  <si>
    <t>(6900+206*V^0.9)*(I2/I1)</t>
  </si>
  <si>
    <t>q [l/s ]</t>
  </si>
  <si>
    <t>qtot [l/s ]</t>
  </si>
  <si>
    <t>Flue Gas Desulfurization</t>
  </si>
  <si>
    <t>C [$/kW]</t>
  </si>
  <si>
    <t>CO2 Removal</t>
  </si>
  <si>
    <t>C*P*(I2/I1)</t>
  </si>
  <si>
    <t>Capital Equipment Costs</t>
  </si>
  <si>
    <t>Variable Costs</t>
  </si>
  <si>
    <t>Installation factors</t>
  </si>
  <si>
    <r>
      <t>Equipment erection factor, f</t>
    </r>
    <r>
      <rPr>
        <vertAlign val="subscript"/>
        <sz val="11"/>
        <color theme="1"/>
        <rFont val="Cambria"/>
        <family val="1"/>
        <scheme val="major"/>
      </rPr>
      <t>er</t>
    </r>
  </si>
  <si>
    <r>
      <t>Piping factor, f</t>
    </r>
    <r>
      <rPr>
        <vertAlign val="subscript"/>
        <sz val="11"/>
        <color theme="1"/>
        <rFont val="Cambria"/>
        <family val="1"/>
        <scheme val="major"/>
      </rPr>
      <t>p</t>
    </r>
  </si>
  <si>
    <r>
      <t>Instrumentation and Control factor, f</t>
    </r>
    <r>
      <rPr>
        <vertAlign val="subscript"/>
        <sz val="11"/>
        <color theme="1"/>
        <rFont val="Cambria"/>
        <family val="1"/>
        <scheme val="major"/>
      </rPr>
      <t>i</t>
    </r>
  </si>
  <si>
    <r>
      <t>Electrical factor, f</t>
    </r>
    <r>
      <rPr>
        <vertAlign val="subscript"/>
        <sz val="11"/>
        <color theme="1"/>
        <rFont val="Cambria"/>
        <family val="1"/>
        <scheme val="major"/>
      </rPr>
      <t>el</t>
    </r>
  </si>
  <si>
    <r>
      <t>Civil factor, f</t>
    </r>
    <r>
      <rPr>
        <vertAlign val="subscript"/>
        <sz val="11"/>
        <color theme="1"/>
        <rFont val="Cambria"/>
        <family val="1"/>
        <scheme val="major"/>
      </rPr>
      <t>c</t>
    </r>
  </si>
  <si>
    <r>
      <t>Structures and Building factor, f</t>
    </r>
    <r>
      <rPr>
        <vertAlign val="subscript"/>
        <sz val="11"/>
        <color theme="1"/>
        <rFont val="Cambria"/>
        <family val="1"/>
        <scheme val="major"/>
      </rPr>
      <t>s</t>
    </r>
  </si>
  <si>
    <r>
      <t xml:space="preserve">Lagging and  Paint factor, </t>
    </r>
    <r>
      <rPr>
        <vertAlign val="subscript"/>
        <sz val="11"/>
        <color theme="1"/>
        <rFont val="Cambria"/>
        <family val="1"/>
        <scheme val="major"/>
      </rPr>
      <t>fl</t>
    </r>
  </si>
  <si>
    <r>
      <t>Material, f</t>
    </r>
    <r>
      <rPr>
        <vertAlign val="subscript"/>
        <sz val="11"/>
        <color theme="1"/>
        <rFont val="Cambria"/>
        <family val="1"/>
        <scheme val="major"/>
      </rPr>
      <t>m</t>
    </r>
    <r>
      <rPr>
        <sz val="11"/>
        <color theme="1"/>
        <rFont val="Cambria"/>
        <family val="1"/>
        <scheme val="major"/>
      </rPr>
      <t>: Carbon steel</t>
    </r>
  </si>
  <si>
    <r>
      <t>Material, f</t>
    </r>
    <r>
      <rPr>
        <vertAlign val="subscript"/>
        <sz val="11"/>
        <color theme="1"/>
        <rFont val="Cambria"/>
        <family val="1"/>
        <scheme val="major"/>
      </rPr>
      <t>m</t>
    </r>
    <r>
      <rPr>
        <sz val="11"/>
        <color theme="1"/>
        <rFont val="Cambria"/>
        <family val="1"/>
        <scheme val="major"/>
      </rPr>
      <t>: Stainless steal</t>
    </r>
  </si>
  <si>
    <t xml:space="preserve"> </t>
  </si>
  <si>
    <t>Installed Capital Costs</t>
  </si>
  <si>
    <t>Labor</t>
  </si>
  <si>
    <t>Number of units</t>
  </si>
  <si>
    <t>Number of operators</t>
  </si>
  <si>
    <t>Shifts per day</t>
  </si>
  <si>
    <t>Employed operators</t>
  </si>
  <si>
    <t>Salary per year</t>
  </si>
  <si>
    <t>Labor costs per year</t>
  </si>
  <si>
    <t>Diesel consumption</t>
  </si>
  <si>
    <t>Price of diesel [kr/l]</t>
  </si>
  <si>
    <t>Diesel costs per year</t>
  </si>
  <si>
    <t>Coal price [$/short tonne]</t>
  </si>
  <si>
    <t>Coal price [$/ton]</t>
  </si>
  <si>
    <t>Coal consumption</t>
  </si>
  <si>
    <t>Coal consumption [ton/year]</t>
  </si>
  <si>
    <t xml:space="preserve">Coal costs per year </t>
  </si>
  <si>
    <t>Revenue</t>
  </si>
  <si>
    <t>Price of electricity [kr/kWh]</t>
  </si>
  <si>
    <t>Price of district heating [kr/kWh]</t>
  </si>
  <si>
    <t>Total amount of electricity [kWh]</t>
  </si>
  <si>
    <t>Total amount of district heating [kWh]</t>
  </si>
  <si>
    <t>Revenue from electricity</t>
  </si>
  <si>
    <t>Revenue from district heating</t>
  </si>
  <si>
    <t>Total revenue</t>
  </si>
  <si>
    <t>Operations and Maintenance costs</t>
  </si>
  <si>
    <t>O&amp;M [$/kW]</t>
  </si>
  <si>
    <t>Total O&amp;M costs [$/year]</t>
  </si>
  <si>
    <t>Total O&amp;M costs [NOK/year]</t>
  </si>
  <si>
    <t>Offsites</t>
  </si>
  <si>
    <t>Design and Engineering</t>
  </si>
  <si>
    <t>Contingency</t>
  </si>
  <si>
    <t>Diesel consumption in 2012 [l]</t>
  </si>
  <si>
    <t>Diesel consumption in 2011 [l]</t>
  </si>
  <si>
    <t>Diesel consumption in 2010 [l]</t>
  </si>
  <si>
    <t>Diesel consumption in 2009 [l]</t>
  </si>
  <si>
    <t>Mean diesel consumption [l]</t>
  </si>
  <si>
    <t xml:space="preserve">  </t>
  </si>
  <si>
    <t>Total fixed capital cost (without CO2 removal)</t>
  </si>
  <si>
    <t>Capital Cost Without Carbon Capture [$]</t>
  </si>
  <si>
    <t>Percent Increase with Carbon Capture</t>
  </si>
  <si>
    <t>C = x*C1*(I2/I1)</t>
  </si>
  <si>
    <t>Total fixed capital cost (with CO2 removal)</t>
  </si>
  <si>
    <t>Cost of Chemicals</t>
  </si>
  <si>
    <t>Chemicals [$/kWh]</t>
  </si>
  <si>
    <t>W [kWh]</t>
  </si>
  <si>
    <t xml:space="preserve">Regneark for beregning av nåverdi og/eller intern rente. </t>
  </si>
  <si>
    <r>
      <t xml:space="preserve">Verdier som må innsettes nedenfor er i </t>
    </r>
    <r>
      <rPr>
        <b/>
        <i/>
        <sz val="10"/>
        <rFont val="Arial"/>
        <family val="2"/>
      </rPr>
      <t>fet kursiv.  Velg avskrivningsprinsipp.</t>
    </r>
  </si>
  <si>
    <t>Internrente kan bestemmes ved å endre D37 til D40 = 0 (Raskest åbestemme ved "Goal seek")</t>
  </si>
  <si>
    <t>År ---&gt;</t>
  </si>
  <si>
    <t>Grunnl.data</t>
  </si>
  <si>
    <t>Investement</t>
  </si>
  <si>
    <t>working capital</t>
  </si>
  <si>
    <t>1)Constant depreciation rate 10%</t>
  </si>
  <si>
    <t>2)Amount depreciation 20%</t>
  </si>
  <si>
    <t>Depreciation Factor ,amount depreciation</t>
  </si>
  <si>
    <t>Industrial investment</t>
  </si>
  <si>
    <t>Service capital</t>
  </si>
  <si>
    <t>Recover of service capital</t>
  </si>
  <si>
    <t>Annual sale income</t>
  </si>
  <si>
    <t>Annual service expenses</t>
  </si>
  <si>
    <t>Brutto service result</t>
  </si>
  <si>
    <t>Depreciation</t>
  </si>
  <si>
    <t>Result before taxes</t>
  </si>
  <si>
    <t>Tax,Percentaje 28%</t>
  </si>
  <si>
    <t>Net profit</t>
  </si>
  <si>
    <t>Despreciation</t>
  </si>
  <si>
    <t>Net cash flow</t>
  </si>
  <si>
    <t>Accumulated cash flow</t>
  </si>
  <si>
    <t>Test1 :</t>
  </si>
  <si>
    <t>Discount factor at 10 %</t>
  </si>
  <si>
    <t>Discount NKS</t>
  </si>
  <si>
    <t>Current value</t>
  </si>
  <si>
    <t>Test 2:</t>
  </si>
  <si>
    <t>Discount factor at 20 %</t>
  </si>
  <si>
    <t>Discount factor at rentage</t>
  </si>
  <si>
    <t>Internal rent</t>
  </si>
  <si>
    <t>Goal seek:"Set cell d40 to 0 by changing cell d37"</t>
  </si>
  <si>
    <t>Working capital</t>
  </si>
  <si>
    <t>Value of raw materials in inventory (60 days)</t>
  </si>
  <si>
    <t>Total Working Capital</t>
  </si>
  <si>
    <t>Number of condensers</t>
  </si>
  <si>
    <t>A per condenser [m2]</t>
  </si>
  <si>
    <t>Capital Cost per condenser</t>
  </si>
  <si>
    <t>Vacuum Condensers</t>
  </si>
  <si>
    <t>Central heat pump</t>
  </si>
  <si>
    <t>Cost per kW [NOK/kW]</t>
  </si>
  <si>
    <t>Heat provided [kW]</t>
  </si>
  <si>
    <t>Heat Pump</t>
  </si>
  <si>
    <t>Heat pump COP</t>
  </si>
  <si>
    <t>Electricity needed for heat pump</t>
  </si>
  <si>
    <t>Available electricity</t>
  </si>
  <si>
    <t>Spare parts (2 % of total plant cost)</t>
  </si>
  <si>
    <t>Total</t>
  </si>
  <si>
    <t>Total variable costs [$/year]</t>
  </si>
  <si>
    <t>UEsDBBQAAAAIALOqdUMq41e5pRAAAK/EAAAYAEIAQXNwZW5UZWNoLkFTV1hMLldvcmtib29rTlU2AE5VQ1gYAEEAcwBwAGUAbgBUAGUAYwBoAC4AQQBTAFcAWABMAC4AVwBvAHIAawBiAG8AbwBrAAoABAAAAAAA7F3pc9s2Frdj+YztOG3TM9lqNN2Z7k5s2em2zXpsdxw5aT21m9R2k2y3WxUmIQkNSagg6aP/1N73vd37vu9rZr/2ez9m8XiCFHVaFNmE9gjmAx6AHx4eHoAH0BoaHhoaust/4C/8TJ/iwafW9TrW9rBUW1jfvXV7a2Fdlol2MX8TM51QbfXSswuL/HfpYr5kKobJ8KqGTYMh5WL+hrmvEOllfLxH72BtdRFJ0rPPSIuXP1m5tHhZroxCPY+Gi79F2Z19Su/M8sSR8oE0XdaJairI4JXpZ8tIMsgB3vWipst1hiuYYU3C+nSZaMQgSCHvYnm2rCLdwGwDGWgXGw8HyQUH/zkhukQ1g1FFwWymzJBWxdtIQ1XMpstVRs36usSr0B8sI9OgKq9c2kPV1+oyMvCF8gZWsIH30L6Cb9WwZpFEq+5AKR8tmxbX1SMJK9dMTbKaAmzXedPd9kLToPxrGIEUt1E9lzuVG+K/uRwXRa4QFtRNxAjUVwLEVpnQXc+G2fxk3Y7xZRfM+VQ45w1PsEHG4Y+EOUF49iM8Ac/E0615fFED9/kw844gfWB4Iszwot8hFqTh4XyDnobECXzwmRyBAGQ6NTkKeSfHIITIcQgmeDD6AR8GrSoF9vEDpJi4XB6agGKhVI5jcgqyA9Fhh42VEWPoeKwsUVMzco1N3XTzffozlmStNpx2huho7kR9Hq78QkPlfk6x+mm3+tFOFQdEO7VFkXyNj2DKxp3hN1Giah0xzOZeQnqtRGV8g9EDImM2ARG7fCDnuAHRx26CrHUu5hFe6emJ87vHfNSqgZZuumU9FZXYUD405P1XL78A7ZiaAoFOzkAAhmcUVKKNmkMfP+Jakx2sUhjwTrMmb6vKrlTDKjrNnzZIpfIiQ+rI8PCsA83hs4R5BjpiDmzve6dWXjhSlfyBY1sLSwuLhTwXJOUmt7paMI3K/NJzhRfWZqZWjvRl3aohT+TVgoeqkDcQq2LjFaRivY4kvFqoGUZ9uVjk1dZNRhYoqxaBU8fG0sKRLhfyvEpNX1Z1Q9M75e641COf9fDwcOHwGYvz0uLiUvH29pYtIx8BN5OIN5NpTtv0eZVIjOq0YsxLVF3mfPM2l5+nzmi9fR7gKuSRYTCybxr4GmXqBq4gPmWtFt4x+YxRIZiD5nZbxZrRJJnLPZ8HyTtseY1LOSB8G9zypu4oxmrBYCb24l/TcclkfGgYW1RCCnaSrXLtkjniuoKP9o7r2Il14muUSDivEu26JJmMS5VrhoqOXMrU9vkQll2QfsYgVD5lueYEQIFUlgVtuyTmbg7IT9XxOyYM9FBSVNWbG54YdjCSr2vKcUg663xi3dQkZuVy0wxe8WqBl0Y0w+PsXseLHSCE8oQKda4rWjXmOjewLjFSByPVz6qDetIJEMvAChBkajpKMjAIr/HFm56sFF6FsW4cJwvCWmckC8FagA2wL1aKzYyJlRJthKwkB3cHVm+vmdVbvK+tXmoskKVzyULgi8SXeC9htkMPBSR8f6ZgxMUju2uCClL0wRpHDk3oqfThAzWGZRMyku3CK5Tx/ltnsBrq2zjqTRy3iGzUUtZNlhHcNY6VhEfaHjFSgQOGO68zBUg2NQ0zW3sT1NttzOtY1+QSjwoA8ZT3w74C2CK6EeOEb9UBs/4Ap/BSjSjygOvkM9D1SoXnGZCyxq4f665v4L5eDfpSSNQYlqhiqlqCdtCZFxKeEqoaZVhO4xKij9amewTh2XrQ9V/huQe8YojX/G1TGSuZY7AZwn47BrvXuNRs0sNuwgQgpMBNuEUPA4vjJKRQrycNIQV+SrA+ySK4gQJ7/AQQ+Ee0KfDfpWFglhSk1r1qS8gym05a3klM1YrKGstNUFtpqURdoprsnZeEYUMigUcs51NxqAKAnMmrFdYUzG/uIqhldwfWRx+uxSbfa7sakS0q4zttjrcTrx4ZmGlIib8nkziVF1T0XvBuudu77AQ0EmFqNlfZCWgbaKk+Ab2mkLpzvIYMU08Zuux8Njufzc5ns/PZD8EKJTuhzU5oozUkO6PNzmizM9rsjPZ+PKPdQ9VLlhHMzmejb3cJOD3XLk/Ju+fa+UTHw7asNMFodWpKUHJ52f62KEEmfwzOhRgNz5Zh8gCvakh8a8bDZ8e3niVidek3HTaRJyL2sEn8hSBrzEQCdMdM4oc18A64fR8hSoYpuKrAZdgEoC3DFEDMDhLjQercUok+B98iKjGSHd7OFZboE+8U4Gt/mcACaR/ORxv3VF0iSBNaeCfe/h8ByfZxkwtE3qQcWHUP9iAoYavMW77NRZBw96Bqgw8rZhgD2sVlrqzMlZW5sjJX1n3tysoupEQizC6kZBdSsisf2ZWP7MpHduXjnr3yEVwEZHc+sjsfTRbeA1kJJr3ks61Mwi6fa1RLeKnwiqnuY5aGRcsthup7+MgYoL2NnoK4zSeUlahCE37dE7RjwDDiNS/2mLuPjMwW0dKwwLuFSbWW8PC2FHlTk/HRvaLNtg/zPtLmbLbKZqvW2nFPzVY3GK0QBQff5cu8pJmXNP1eUuuOUSqRpdp/y/Ht7DUcTaYB2Sv0eoXLS0/QK7ZHVGxNNwdISfiOAkeSglt0mbc/8/Zn3v7M25/+1Wt29UmQSKI3W7LrV9n1qzaosutX99z1q10Ja4gRmrkQMhdCYLe5ef0KgkVQKrfCmX+jB2Rgu0r8A0WlEmCqHTDp/o9OKXDCZD6HzOeQ+Rwyn0O617mZv0GURqJ7OXun3+Sly8zxcX86PgbrYojZ5uA6YsigTN/UKjRGg2N9+QKvLdmu28ASUZEyUBz960Cb3/pmbSeuSQnQcFMjvEqn3da/8nkZ+/+v4gbjcmDHPCr4nd5uv8IX0VOWP6ojo7ZaWCgWra9bXw58H3cxkKdCsCK7GWxuGCNFEamNqRlIoXCQfolqvGcQjK04wEEVXcFz+5zL7FJ/5LgXjxy973fnqJ7tHpD1akN7UJ4VbMvpvVjQm7CX+iBsYf6MU9qfOCnU0BdbxYm1H2L1/sFNDKYAyoYxClYrBkBdD39Rds+fVHbhryOIGe9z/dLLAVisy71ASoXNCoyuxb6IPEa75b3PxoEJu8HejYH7f2diAwrC6C/YQYjX0rn+wo5pFDa+4diV7Q2/HZn0cLTcZX0RvON467e8hfd5+gJTfD+o72CF1zX6AlZ8/aPvYKPunpejJ0R/l/FK/6fNyDvwsbbWs2jlJrNRq/aefNKKvjbV9xYHbgQk0bHBKwmxtS/h3mx0SPejpXfwMcMV15Uvbngi6uOcmIU3WfGhF53OgVbYoJu1IqAOzVvRSm3ja1PDLNtBg4SpJKTqTlMa5q54xk3woLSLBgjTSxOb5DSkYV6L19CFJrwOWhI1h7RuUgezX7yN7EXjAoagdft6MQa9NkW49drb8IleApxsFPW4rOh5MAmL+8ZVvtOU0HYyxl1D9F6g4xbwijpphrBtG+QOqDvlCu8IT6ZWXe8v+2Gdo/biJzPNPe3uu7fLTVSqsRl9UKmBGl/BlXMCg9uNQ8j/ronu5N8csXfe1X+w/pd39Kbw/VX2ASh6YJrpYErudHUxeM2OcBmfQMN7cUD3Mnc1yr9tE7rqgpP60Lubsvq6EBrkCsg5qmk4uYkQ/1Jsp0BRR1xdz7f9nGljn2Pd3m0EHTiPjwVwL6oenJYiR2r3k9MArIxQSzPcvQl8sOYlcLHixMvhwZqWwP2VCLPyfCz3YNrak9BVJPs6k1TDKlobOzs0NPS/sRWZVCpVtmz/QWr+SFV4ybbzcbVgMs3JoM+rRGJUpxVjXqLqMuebt7kKTh67iHZ53IrmD7ipXfFkZJfR/sLW2oov9LyDnchiV/iXIxg9vA49C1e71lY2N9YWV4o8XAF/69qLlMorRetxpejnbl/+pYjyl+zyl4Tyr6Do4kMTh1hHKCm6IW6GGtJLNeu7O1YLRNMxMzBIp6FtQt2LQSTFUH3dYIsWQifYBLkIYJbaQQtedhSRBVN6Epp7wXHt4krRe17xLxyuLawUBWqlGKyTR3h6zJ9DI2ptdJyPtKfX9TrW9rBUW7B4F4B5wctWoprBqKJgNs2Zx8r0UMPs0XJgkeTzPGQngFn2I31uEuR+shzldPLTL5Rd1+6uYcrHodSHy4Ix9aPPOdFBDC4zCeP1dmkiXi8yWMhjfkKo0pzw82hYoLcou7NP6Z1TXIAXI6XdpP2nmnZPBLj2pZPG0p+JzNC6VyDfUmS+Vr0FuT4emSuyF4H9Yy3YG9veqvCIlkfLNUIbmsu1iZZAhvnWGSIaC5/JYQgehOAhCM5B8DAEj0DwKASPQfA4BE9AcB6CCzwYneDB+XC11iu120hDVbsWZ/xOlvUaxsY2qrdR1wvhxF3I55RaD+J+ElBM8SAfzrQuSVjXr2FkmAzyXeJMD6xLBjlABt4lqqkgePdxZl2WgxR8/RKq14lWdSjH6o7blD7N/7rdqz8AL5eoPK8E30dY56YWn7Vt6lXtgDCqwVpjxo7ZMTXoiDmb8is9U6L1Y7uLKFRg0fCwR63Y2Q2+ZjGwK6K5q0d1ygwB9KYKETeIBE2dsyk/ecqOgAJnNy0rzx8tZTjrke5YcBhc8hyvn1SOfYnYTF6sSLp5HtymBziUY9qJ8wmX+8wNZOqCLOZ2MNGIEYhQOX9DhF+DH+F01JQXoc96j3aDPdKr347x+nPWo63kGd5nftVnd2v0cAPrpKrtUarsIzYDMddZFWnkXcxmgeI5nESL9HPP7hq07pOP3ST40NJHUVVgVJ+FFD5QK6RqMot3AmK2KFcNeHD0CFgfANovE6LmIMr2sNhD0OJxG2iPigfFKEeMua5/nggPOWuxYNcAIzRLz9Kz9Cw9S8/So9LhM/zfu3fvfsA/I0D8xyGslH+LxL9E4p8i8Q+R+LtY2t9E4q8i8ReR+LNI/Ekk/igW/QeR+L1I/E4kfisSvxGJX4vEr0TilyLxC5H4uUj8TCR+KhI/EYkfi034kUj8UGR7TyR+IBLfF4nvicR3ReI7IvFtkfiWWOk3xZRviClfF1O+JqZ8VSS+IhJfFvN8SUz5okh8QSQ+L+b5nEh8ViDGTw9BFP/M8U/usbDybrrrJWCemRufdtlz8GnQ9U1/VWZlyM3NDNk/c7POQ+4MD2Z3j3UDqws37a/gg8LGytvobcr4H6LBnysmUeTJ8g4+IMACWSf4zymnmLvOzyjs4bre6o+XDWvh62zSRnLnHUAlYJEAv77wEtJrFlvHfhtvl7YDAbh8RmF32bFjYXjI2zfmuq/Uqu9cW3FE7NCnygfuViAuiex5CGGX3aszJO5+u+mhBDdAb66XuDHe9jCCl6JLR0/c4F73wIH3pHO3Uh80//E20gjpfR9qfKLp2I5wbvWhvvNNx3YT/1gf6gSHV/cutrjV7A0PH7jCWrvOhi0DR+A/30CNIy2hWKW/CdMUmPCWrFD91BZF8jUEx3jjzlw2UaJqHTHM5oCzxAXEzdoBkTGbgIhd8i7OvYyP9bGbSDGxPjQ0MjI0Onp6IqquTbesp6ISG8p//9XLL8DcODUFs/pkGYK3YL4G4wvtCTEgCPaB4WY0gwSBDAy3oxkwBBVgeD2aoQpBDRjeiGYgELwNDG9GM9yBQOHBXNmZ+ufech+Q+7DvPkjug+w+YPeh4j5U3Yea+0Dch7fdhzvug+I8nP4/AAAA//8DAFBLAQItABQAAAAIALOqdUMq41e5pRAAAK/EAAAYAGAAAAAAAAAAAAAAAAAAAABBc3BlblRlY2guQVNXWEwuV29ya2Jvb2tOVTgATlVDWBgAAABBAHMAcABlAG4AVABlAGMAaAAuAEEAUwBXAFgATAAuAFcAbwByAGsAYgBvAG8AawAKACAAAAAAAAEAGACRKihJ9+bOAZEqKEn35s4BpikfSffmzgFQSwUGAAAAAAEAAQCmAAAAHREAAB4AQVNXWEwgU3RvcmFnZSBWZXJzaW9uIDI1LjAuMC4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</si>
</sst>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 &quot;kr&quot;\ * #,##0.00_ ;_ &quot;kr&quot;\ * \-#,##0.00_ ;_ &quot;kr&quot;\ * &quot;-&quot;??_ ;_ @_ "/>
    <numFmt numFmtId="164" formatCode="_-[$$-409]* #,##0.00_ ;_-[$$-409]* \-#,##0.00\ ;_-[$$-409]* &quot;-&quot;??_ ;_-@_ "/>
    <numFmt numFmtId="165" formatCode="_ [$kr-414]\ * #,##0.00_ ;_ [$kr-414]\ * \-#,##0.00_ ;_ [$kr-414]\ * &quot;-&quot;??_ ;_ @_ "/>
    <numFmt numFmtId="166" formatCode="_-[$$-409]* #,##0.00000_ ;_-[$$-409]* \-#,##0.00000\ ;_-[$$-409]* &quot;-&quot;??_ ;_-@_ "/>
    <numFmt numFmtId="167" formatCode="0.0000"/>
    <numFmt numFmtId="168" formatCode="0.0"/>
  </numFmts>
  <fonts count="12" x14ac:knownFonts="1">
    <font>
      <sz val="11"/>
      <color theme="1"/>
      <name val="Cambria"/>
      <family val="1"/>
      <scheme val="major"/>
    </font>
    <font>
      <sz val="11"/>
      <color theme="1"/>
      <name val="Calibri"/>
      <family val="2"/>
      <scheme val="minor"/>
    </font>
    <font>
      <b/>
      <sz val="11"/>
      <color theme="1"/>
      <name val="Cambria"/>
      <family val="1"/>
      <scheme val="major"/>
    </font>
    <font>
      <sz val="11"/>
      <color theme="1"/>
      <name val="Cambria"/>
      <family val="1"/>
      <scheme val="major"/>
    </font>
    <font>
      <b/>
      <sz val="20"/>
      <color theme="1"/>
      <name val="Cambria"/>
      <family val="1"/>
      <scheme val="major"/>
    </font>
    <font>
      <vertAlign val="subscript"/>
      <sz val="11"/>
      <color theme="1"/>
      <name val="Cambria"/>
      <family val="1"/>
      <scheme val="major"/>
    </font>
    <font>
      <sz val="16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10"/>
      <name val="Times New Roman"/>
      <family val="1"/>
    </font>
    <font>
      <b/>
      <sz val="10"/>
      <name val="Arial"/>
      <family val="2"/>
    </font>
    <font>
      <sz val="11"/>
      <color theme="1"/>
      <name val="Cambria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</fills>
  <borders count="28">
    <border>
      <left/>
      <right/>
      <top/>
      <bottom/>
      <diagonal/>
    </border>
    <border>
      <left/>
      <right/>
      <top/>
      <bottom style="thin">
        <color theme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hair">
        <color indexed="64"/>
      </left>
      <right style="hair">
        <color indexed="64"/>
      </right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87">
    <xf numFmtId="0" fontId="0" fillId="0" borderId="0" xfId="0"/>
    <xf numFmtId="0" fontId="0" fillId="0" borderId="0" xfId="0" quotePrefix="1"/>
    <xf numFmtId="0" fontId="0" fillId="0" borderId="0" xfId="0" applyFont="1"/>
    <xf numFmtId="164" fontId="0" fillId="0" borderId="0" xfId="0" applyNumberFormat="1"/>
    <xf numFmtId="164" fontId="0" fillId="0" borderId="0" xfId="0" applyNumberFormat="1" applyFont="1"/>
    <xf numFmtId="0" fontId="2" fillId="0" borderId="0" xfId="0" applyFont="1"/>
    <xf numFmtId="0" fontId="3" fillId="0" borderId="0" xfId="0" applyFont="1"/>
    <xf numFmtId="0" fontId="3" fillId="2" borderId="0" xfId="0" applyFont="1" applyFill="1"/>
    <xf numFmtId="164" fontId="3" fillId="0" borderId="0" xfId="0" applyNumberFormat="1" applyFont="1"/>
    <xf numFmtId="11" fontId="3" fillId="0" borderId="0" xfId="0" applyNumberFormat="1" applyFont="1"/>
    <xf numFmtId="0" fontId="3" fillId="0" borderId="1" xfId="0" applyFont="1" applyBorder="1"/>
    <xf numFmtId="164" fontId="2" fillId="0" borderId="0" xfId="0" applyNumberFormat="1" applyFont="1"/>
    <xf numFmtId="0" fontId="3" fillId="2" borderId="1" xfId="0" applyFont="1" applyFill="1" applyBorder="1"/>
    <xf numFmtId="164" fontId="3" fillId="0" borderId="0" xfId="1" applyNumberFormat="1" applyFont="1"/>
    <xf numFmtId="165" fontId="3" fillId="0" borderId="0" xfId="0" applyNumberFormat="1" applyFont="1"/>
    <xf numFmtId="0" fontId="3" fillId="0" borderId="0" xfId="0" applyNumberFormat="1" applyFont="1"/>
    <xf numFmtId="0" fontId="3" fillId="2" borderId="0" xfId="0" applyNumberFormat="1" applyFont="1" applyFill="1"/>
    <xf numFmtId="1" fontId="3" fillId="0" borderId="0" xfId="0" applyNumberFormat="1" applyFont="1"/>
    <xf numFmtId="165" fontId="3" fillId="2" borderId="0" xfId="0" applyNumberFormat="1" applyFont="1" applyFill="1"/>
    <xf numFmtId="0" fontId="2" fillId="0" borderId="1" xfId="0" applyFont="1" applyBorder="1"/>
    <xf numFmtId="165" fontId="2" fillId="0" borderId="0" xfId="0" applyNumberFormat="1" applyFont="1"/>
    <xf numFmtId="0" fontId="0" fillId="0" borderId="0" xfId="0" applyFill="1"/>
    <xf numFmtId="164" fontId="0" fillId="0" borderId="0" xfId="0" applyNumberFormat="1" applyFill="1"/>
    <xf numFmtId="165" fontId="0" fillId="0" borderId="0" xfId="0" applyNumberFormat="1" applyFill="1"/>
    <xf numFmtId="0" fontId="0" fillId="0" borderId="0" xfId="0" applyNumberFormat="1" applyFill="1"/>
    <xf numFmtId="165" fontId="2" fillId="0" borderId="0" xfId="0" applyNumberFormat="1" applyFont="1" applyFill="1"/>
    <xf numFmtId="9" fontId="3" fillId="0" borderId="0" xfId="2" applyFont="1"/>
    <xf numFmtId="166" fontId="0" fillId="0" borderId="0" xfId="0" applyNumberFormat="1"/>
    <xf numFmtId="168" fontId="0" fillId="0" borderId="0" xfId="0" applyNumberFormat="1"/>
    <xf numFmtId="0" fontId="6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3" xfId="0" applyBorder="1" applyAlignment="1">
      <alignment horizontal="right"/>
    </xf>
    <xf numFmtId="0" fontId="0" fillId="0" borderId="5" xfId="0" applyBorder="1" applyAlignment="1">
      <alignment horizontal="right"/>
    </xf>
    <xf numFmtId="0" fontId="7" fillId="0" borderId="6" xfId="0" applyFont="1" applyBorder="1"/>
    <xf numFmtId="0" fontId="0" fillId="0" borderId="0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6" xfId="0" applyBorder="1"/>
    <xf numFmtId="0" fontId="8" fillId="0" borderId="6" xfId="0" applyFont="1" applyBorder="1"/>
    <xf numFmtId="0" fontId="8" fillId="0" borderId="0" xfId="0" applyFont="1" applyBorder="1"/>
    <xf numFmtId="0" fontId="9" fillId="0" borderId="10" xfId="0" applyFont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167" fontId="0" fillId="0" borderId="12" xfId="0" applyNumberFormat="1" applyBorder="1"/>
    <xf numFmtId="2" fontId="0" fillId="0" borderId="10" xfId="0" applyNumberFormat="1" applyBorder="1"/>
    <xf numFmtId="2" fontId="0" fillId="0" borderId="0" xfId="0" applyNumberFormat="1" applyBorder="1"/>
    <xf numFmtId="0" fontId="7" fillId="0" borderId="11" xfId="0" applyFont="1" applyBorder="1"/>
    <xf numFmtId="2" fontId="0" fillId="0" borderId="14" xfId="0" applyNumberFormat="1" applyBorder="1"/>
    <xf numFmtId="2" fontId="0" fillId="0" borderId="12" xfId="0" applyNumberFormat="1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2" fontId="0" fillId="0" borderId="18" xfId="0" applyNumberFormat="1" applyBorder="1"/>
    <xf numFmtId="2" fontId="0" fillId="0" borderId="16" xfId="0" applyNumberFormat="1" applyBorder="1"/>
    <xf numFmtId="0" fontId="10" fillId="0" borderId="19" xfId="0" applyFont="1" applyBorder="1"/>
    <xf numFmtId="0" fontId="10" fillId="0" borderId="20" xfId="0" applyFont="1" applyBorder="1"/>
    <xf numFmtId="0" fontId="0" fillId="0" borderId="21" xfId="0" applyBorder="1"/>
    <xf numFmtId="0" fontId="0" fillId="0" borderId="20" xfId="0" applyBorder="1"/>
    <xf numFmtId="2" fontId="0" fillId="0" borderId="22" xfId="0" applyNumberFormat="1" applyBorder="1"/>
    <xf numFmtId="2" fontId="0" fillId="0" borderId="20" xfId="0" applyNumberFormat="1" applyBorder="1"/>
    <xf numFmtId="0" fontId="0" fillId="0" borderId="22" xfId="0" applyBorder="1"/>
    <xf numFmtId="167" fontId="0" fillId="0" borderId="0" xfId="0" applyNumberFormat="1" applyBorder="1"/>
    <xf numFmtId="0" fontId="10" fillId="0" borderId="11" xfId="0" applyFont="1" applyBorder="1"/>
    <xf numFmtId="0" fontId="10" fillId="0" borderId="12" xfId="0" applyFont="1" applyBorder="1"/>
    <xf numFmtId="0" fontId="10" fillId="0" borderId="23" xfId="0" applyFont="1" applyBorder="1"/>
    <xf numFmtId="0" fontId="10" fillId="0" borderId="6" xfId="0" applyFont="1" applyBorder="1"/>
    <xf numFmtId="0" fontId="10" fillId="0" borderId="24" xfId="0" applyFont="1" applyBorder="1"/>
    <xf numFmtId="0" fontId="10" fillId="0" borderId="10" xfId="0" applyFont="1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11" fillId="2" borderId="0" xfId="0" applyFont="1" applyFill="1"/>
    <xf numFmtId="0" fontId="11" fillId="0" borderId="0" xfId="0" applyFont="1"/>
    <xf numFmtId="0" fontId="11" fillId="0" borderId="0" xfId="0" applyNumberFormat="1" applyFont="1"/>
    <xf numFmtId="1" fontId="0" fillId="0" borderId="0" xfId="0" applyNumberFormat="1" applyFont="1"/>
    <xf numFmtId="0" fontId="11" fillId="0" borderId="0" xfId="0" applyFont="1" applyFill="1"/>
    <xf numFmtId="1" fontId="11" fillId="0" borderId="0" xfId="0" applyNumberFormat="1" applyFont="1" applyFill="1"/>
    <xf numFmtId="1" fontId="0" fillId="0" borderId="7" xfId="0" applyNumberFormat="1" applyBorder="1"/>
    <xf numFmtId="2" fontId="10" fillId="0" borderId="24" xfId="0" applyNumberFormat="1" applyFont="1" applyBorder="1" applyAlignment="1">
      <alignment horizontal="center"/>
    </xf>
    <xf numFmtId="1" fontId="0" fillId="0" borderId="10" xfId="0" applyNumberFormat="1" applyBorder="1"/>
    <xf numFmtId="0" fontId="4" fillId="0" borderId="0" xfId="0" applyFont="1" applyAlignment="1">
      <alignment horizontal="center"/>
    </xf>
  </cellXfs>
  <cellStyles count="3">
    <cellStyle name="Currency" xfId="1" builtinId="4"/>
    <cellStyle name="Normal" xfId="0" builtinId="0" customBuiltin="1"/>
    <cellStyle name="Percent" xfId="2" builtinId="5"/>
  </cellStyles>
  <dxfs count="10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major"/>
      </font>
      <numFmt numFmtId="165" formatCode="_ [$kr-414]\ * #,##0.00_ ;_ [$kr-414]\ * \-#,##0.00_ ;_ [$kr-414]\ * &quot;-&quot;??_ ;_ @_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major"/>
      </font>
    </dxf>
    <dxf>
      <numFmt numFmtId="165" formatCode="_ [$kr-414]\ * #,##0.00_ ;_ [$kr-414]\ * \-#,##0.00_ ;_ [$kr-414]\ * &quot;-&quot;??_ ;_ @_ "/>
    </dxf>
    <dxf>
      <font>
        <strike val="0"/>
        <outline val="0"/>
        <shadow val="0"/>
        <u val="none"/>
        <color theme="1"/>
        <name val="Cambria"/>
        <scheme val="major"/>
      </font>
    </dxf>
    <dxf>
      <font>
        <strike val="0"/>
        <outline val="0"/>
        <shadow val="0"/>
        <u val="none"/>
        <color theme="1"/>
        <name val="Cambria"/>
        <scheme val="major"/>
      </font>
    </dxf>
    <dxf>
      <font>
        <strike val="0"/>
        <outline val="0"/>
        <shadow val="0"/>
        <u val="none"/>
        <color theme="1"/>
        <name val="Cambria"/>
        <scheme val="major"/>
      </font>
    </dxf>
    <dxf>
      <font>
        <strike val="0"/>
        <outline val="0"/>
        <shadow val="0"/>
        <u val="none"/>
        <color theme="1"/>
        <name val="Cambria"/>
        <scheme val="major"/>
      </font>
    </dxf>
    <dxf>
      <numFmt numFmtId="165" formatCode="_ [$kr-414]\ * #,##0.00_ ;_ [$kr-414]\ * \-#,##0.00_ ;_ [$kr-414]\ * &quot;-&quot;??_ ;_ @_ "/>
    </dxf>
    <dxf>
      <font>
        <strike val="0"/>
        <outline val="0"/>
        <shadow val="0"/>
        <u val="none"/>
        <color theme="1"/>
        <name val="Cambria"/>
        <scheme val="major"/>
      </font>
    </dxf>
    <dxf>
      <font>
        <strike val="0"/>
        <outline val="0"/>
        <shadow val="0"/>
        <u val="none"/>
        <color theme="1"/>
        <name val="Cambria"/>
        <scheme val="major"/>
      </font>
    </dxf>
    <dxf>
      <font>
        <strike val="0"/>
        <outline val="0"/>
        <shadow val="0"/>
        <u val="none"/>
        <color theme="1"/>
        <name val="Cambria"/>
        <scheme val="major"/>
      </font>
    </dxf>
    <dxf>
      <font>
        <strike val="0"/>
        <outline val="0"/>
        <shadow val="0"/>
        <u val="none"/>
        <color theme="1"/>
        <name val="Cambria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major"/>
      </font>
    </dxf>
    <dxf>
      <numFmt numFmtId="165" formatCode="_ [$kr-414]\ * #,##0.00_ ;_ [$kr-414]\ * \-#,##0.00_ ;_ [$kr-414]\ * &quot;-&quot;??_ ;_ @_ "/>
    </dxf>
    <dxf>
      <font>
        <strike val="0"/>
        <outline val="0"/>
        <shadow val="0"/>
        <u val="none"/>
        <color theme="1"/>
        <name val="Cambria"/>
        <scheme val="major"/>
      </font>
    </dxf>
    <dxf>
      <font>
        <strike val="0"/>
        <outline val="0"/>
        <shadow val="0"/>
        <u val="none"/>
        <color theme="1"/>
        <name val="Cambria"/>
        <scheme val="major"/>
      </font>
    </dxf>
    <dxf>
      <font>
        <strike val="0"/>
        <outline val="0"/>
        <shadow val="0"/>
        <u val="none"/>
        <color theme="1"/>
        <name val="Cambria"/>
        <scheme val="major"/>
      </font>
    </dxf>
    <dxf>
      <font>
        <strike val="0"/>
        <outline val="0"/>
        <shadow val="0"/>
        <u val="none"/>
        <color theme="1"/>
        <name val="Cambria"/>
        <scheme val="major"/>
      </font>
    </dxf>
    <dxf>
      <numFmt numFmtId="165" formatCode="_ [$kr-414]\ * #,##0.00_ ;_ [$kr-414]\ * \-#,##0.00_ ;_ [$kr-414]\ * &quot;-&quot;??_ ;_ @_ "/>
    </dxf>
    <dxf>
      <font>
        <strike val="0"/>
        <outline val="0"/>
        <shadow val="0"/>
        <u val="none"/>
        <color theme="1"/>
        <name val="Cambria"/>
        <scheme val="major"/>
      </font>
    </dxf>
    <dxf>
      <font>
        <strike val="0"/>
        <outline val="0"/>
        <shadow val="0"/>
        <u val="none"/>
        <color theme="1"/>
        <name val="Cambria"/>
        <scheme val="major"/>
      </font>
    </dxf>
    <dxf>
      <border outline="0">
        <top style="thin">
          <color theme="1"/>
        </top>
      </border>
    </dxf>
    <dxf>
      <font>
        <strike val="0"/>
        <outline val="0"/>
        <shadow val="0"/>
        <u val="none"/>
        <color theme="1"/>
        <name val="Cambria"/>
        <scheme val="major"/>
      </font>
    </dxf>
    <dxf>
      <border outline="0">
        <bottom style="thin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numFmt numFmtId="0" formatCode="General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b val="0"/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b val="0"/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b val="0"/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numFmt numFmtId="0" formatCode="General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numFmt numFmtId="0" formatCode="General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numFmt numFmtId="0" formatCode="General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numFmt numFmtId="0" formatCode="General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numFmt numFmtId="0" formatCode="General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numFmt numFmtId="0" formatCode="General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Net Present Value</c:v>
          </c:tx>
          <c:spPr>
            <a:ln w="22225">
              <a:solidFill>
                <a:schemeClr val="tx1"/>
              </a:solidFill>
            </a:ln>
          </c:spPr>
          <c:marker>
            <c:symbol val="x"/>
            <c:size val="5"/>
            <c:spPr>
              <a:noFill/>
              <a:ln w="19050">
                <a:solidFill>
                  <a:schemeClr val="tx1"/>
                </a:solidFill>
              </a:ln>
            </c:spPr>
          </c:marker>
          <c:xVal>
            <c:numRef>
              <c:f>'Investment Analysis'!$E$3:$BD$3</c:f>
              <c:numCache>
                <c:formatCode>General</c:formatCode>
                <c:ptCount val="52"/>
                <c:pt idx="0">
                  <c:v>-1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</c:numCache>
            </c:numRef>
          </c:xVal>
          <c:yVal>
            <c:numRef>
              <c:f>'Investment Analysis'!$E$26:$BD$26</c:f>
              <c:numCache>
                <c:formatCode>0.00</c:formatCode>
                <c:ptCount val="52"/>
                <c:pt idx="0" formatCode="General">
                  <c:v>0</c:v>
                </c:pt>
                <c:pt idx="1">
                  <c:v>-2855942986.6251402</c:v>
                </c:pt>
                <c:pt idx="2">
                  <c:v>-2768194553.7881804</c:v>
                </c:pt>
                <c:pt idx="3">
                  <c:v>-2680446120.9512205</c:v>
                </c:pt>
                <c:pt idx="4">
                  <c:v>-2592697688.1142607</c:v>
                </c:pt>
                <c:pt idx="5">
                  <c:v>-2504949255.2773008</c:v>
                </c:pt>
                <c:pt idx="6">
                  <c:v>-2417200822.440341</c:v>
                </c:pt>
                <c:pt idx="7">
                  <c:v>-2329452389.6033812</c:v>
                </c:pt>
                <c:pt idx="8">
                  <c:v>-2241703956.7664213</c:v>
                </c:pt>
                <c:pt idx="9">
                  <c:v>-2153955523.9294615</c:v>
                </c:pt>
                <c:pt idx="10">
                  <c:v>-2066207091.0925014</c:v>
                </c:pt>
                <c:pt idx="11">
                  <c:v>-1978458658.2555413</c:v>
                </c:pt>
                <c:pt idx="12">
                  <c:v>-1890710225.4185812</c:v>
                </c:pt>
                <c:pt idx="13">
                  <c:v>-1802961792.5816212</c:v>
                </c:pt>
                <c:pt idx="14">
                  <c:v>-1715213359.7446611</c:v>
                </c:pt>
                <c:pt idx="15">
                  <c:v>-1627464926.907701</c:v>
                </c:pt>
                <c:pt idx="16">
                  <c:v>-1539716494.0707409</c:v>
                </c:pt>
                <c:pt idx="17">
                  <c:v>-1451968061.2337809</c:v>
                </c:pt>
                <c:pt idx="18">
                  <c:v>-1364219628.3968208</c:v>
                </c:pt>
                <c:pt idx="19">
                  <c:v>-1276471195.5598607</c:v>
                </c:pt>
                <c:pt idx="20">
                  <c:v>-1188722762.7229006</c:v>
                </c:pt>
                <c:pt idx="21">
                  <c:v>-1100974329.8859406</c:v>
                </c:pt>
                <c:pt idx="22">
                  <c:v>-1013225897.0489805</c:v>
                </c:pt>
                <c:pt idx="23">
                  <c:v>-925477464.2120204</c:v>
                </c:pt>
                <c:pt idx="24">
                  <c:v>-837729031.37506032</c:v>
                </c:pt>
                <c:pt idx="25">
                  <c:v>-749980598.53810024</c:v>
                </c:pt>
                <c:pt idx="26">
                  <c:v>-662232165.70114017</c:v>
                </c:pt>
                <c:pt idx="27">
                  <c:v>-574483732.86418009</c:v>
                </c:pt>
                <c:pt idx="28">
                  <c:v>-486735300.02722007</c:v>
                </c:pt>
                <c:pt idx="29">
                  <c:v>-398986867.19026005</c:v>
                </c:pt>
                <c:pt idx="30">
                  <c:v>-311238434.35330003</c:v>
                </c:pt>
                <c:pt idx="31">
                  <c:v>-223490001.51634002</c:v>
                </c:pt>
                <c:pt idx="32">
                  <c:v>-135741568.67938</c:v>
                </c:pt>
                <c:pt idx="33">
                  <c:v>-47993135.842419982</c:v>
                </c:pt>
                <c:pt idx="34">
                  <c:v>39755296.994540036</c:v>
                </c:pt>
                <c:pt idx="35">
                  <c:v>127503729.83150005</c:v>
                </c:pt>
                <c:pt idx="36">
                  <c:v>215252162.66846007</c:v>
                </c:pt>
                <c:pt idx="37">
                  <c:v>303000595.50542009</c:v>
                </c:pt>
                <c:pt idx="38">
                  <c:v>390749028.34238011</c:v>
                </c:pt>
                <c:pt idx="39">
                  <c:v>478497461.17934012</c:v>
                </c:pt>
                <c:pt idx="40">
                  <c:v>566245894.0163002</c:v>
                </c:pt>
                <c:pt idx="41">
                  <c:v>653994326.85326028</c:v>
                </c:pt>
                <c:pt idx="42">
                  <c:v>741742759.69022036</c:v>
                </c:pt>
                <c:pt idx="43">
                  <c:v>829491192.52718043</c:v>
                </c:pt>
                <c:pt idx="44">
                  <c:v>917239625.36414051</c:v>
                </c:pt>
                <c:pt idx="45">
                  <c:v>1004988058.2011006</c:v>
                </c:pt>
                <c:pt idx="46">
                  <c:v>1092736491.0380607</c:v>
                </c:pt>
                <c:pt idx="47">
                  <c:v>1180484923.8750207</c:v>
                </c:pt>
                <c:pt idx="48">
                  <c:v>1268233356.7119808</c:v>
                </c:pt>
                <c:pt idx="49">
                  <c:v>1355981789.5489409</c:v>
                </c:pt>
                <c:pt idx="50">
                  <c:v>1443730222.385901</c:v>
                </c:pt>
                <c:pt idx="51">
                  <c:v>1588570222.3167005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8649472"/>
        <c:axId val="298652032"/>
      </c:scatterChart>
      <c:valAx>
        <c:axId val="298649472"/>
        <c:scaling>
          <c:orientation val="minMax"/>
          <c:max val="50"/>
          <c:min val="-1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b="1">
                    <a:latin typeface="+mj-lt"/>
                  </a:rPr>
                  <a:t>Years after investment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98652032"/>
        <c:crosses val="autoZero"/>
        <c:crossBetween val="midCat"/>
        <c:majorUnit val="3"/>
        <c:minorUnit val="1"/>
      </c:valAx>
      <c:valAx>
        <c:axId val="298652032"/>
        <c:scaling>
          <c:orientation val="minMax"/>
          <c:max val="1600000000"/>
          <c:min val="-300000000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 b="1">
                    <a:latin typeface="+mj-lt"/>
                  </a:rPr>
                  <a:t>Net Present Value [MNOK]</a:t>
                </a:r>
              </a:p>
            </c:rich>
          </c:tx>
          <c:layout/>
          <c:overlay val="0"/>
        </c:title>
        <c:numFmt formatCode="\ * #,,_ ;\ * \-#,,_ ;\ * &quot;-&quot;_ ;_ @_ 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98649472"/>
        <c:crossesAt val="-1"/>
        <c:crossBetween val="midCat"/>
      </c:valAx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43</xdr:row>
      <xdr:rowOff>38100</xdr:rowOff>
    </xdr:from>
    <xdr:to>
      <xdr:col>9</xdr:col>
      <xdr:colOff>561975</xdr:colOff>
      <xdr:row>74</xdr:row>
      <xdr:rowOff>57150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2" name="Table2" displayName="Table2" ref="A2:B8" totalsRowShown="0" headerRowDxfId="108" dataDxfId="107">
  <autoFilter ref="A2:B8"/>
  <tableColumns count="2">
    <tableColumn id="1" name="Boiler" dataDxfId="106"/>
    <tableColumn id="2" name="C2 = C1(S2/S1)^0.67*(I2/I1)" dataDxfId="105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id="12" name="Table12" displayName="Table12" ref="A77:B81" totalsRowShown="0" headerRowDxfId="72" dataDxfId="71">
  <autoFilter ref="A77:B81"/>
  <tableColumns count="2">
    <tableColumn id="1" name="LP CO2 Compressor" dataDxfId="70"/>
    <tableColumn id="2" name="(490000+16800*P^0.6)*(I2/I1)" dataDxfId="69">
      <calculatedColumnFormula>(490000+16800*(1000*B73)^0.6)*(913.9/525.4)</calculatedColumnFormula>
    </tableColumn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id="14" name="Table1215" displayName="Table1215" ref="A83:B87" totalsRowShown="0" headerRowDxfId="68" dataDxfId="67">
  <autoFilter ref="A83:B87"/>
  <tableColumns count="2">
    <tableColumn id="1" name="IP CO2 Compressor" dataDxfId="66"/>
    <tableColumn id="2" name="(490000+16800*P^0.6)*(I2/I1)" dataDxfId="65">
      <calculatedColumnFormula>(490000+16800*(1000*B79)^0.6)*(913.9/525.4)</calculatedColumnFormula>
    </tableColumn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id="15" name="Table121516" displayName="Table121516" ref="A95:B99" totalsRowShown="0" headerRowDxfId="64" dataDxfId="63">
  <autoFilter ref="A95:B99"/>
  <tableColumns count="2">
    <tableColumn id="1" name="Main Water Pump" dataDxfId="62"/>
    <tableColumn id="2" name="(6900+206*V^0.9)*(I2/I1)" dataDxfId="61">
      <calculatedColumnFormula>(490000+16800*(1000*B85)^0.6)*(913.9/525.4)</calculatedColumnFormula>
    </tableColumn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id="16" name="Table12151617" displayName="Table12151617" ref="A101:B105" totalsRowShown="0" headerRowDxfId="60" dataDxfId="59">
  <autoFilter ref="A101:B105"/>
  <tableColumns count="2">
    <tableColumn id="1" name="LP Water Pump" dataDxfId="58"/>
    <tableColumn id="2" name="(6900+206*V^0.9)*(I2/I1)" dataDxfId="57">
      <calculatedColumnFormula>(490000+16800*(1000*B97)^0.6)*(913.9/525.4)</calculatedColumnFormula>
    </tableColumn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id="17" name="Table1215161718" displayName="Table1215161718" ref="A107:B111" totalsRowShown="0" headerRowDxfId="56" dataDxfId="55">
  <autoFilter ref="A107:B111"/>
  <tableColumns count="2">
    <tableColumn id="1" name="District Heat Water Pump" dataDxfId="54"/>
    <tableColumn id="2" name="(6900+206*V^0.9)*(I2/I1)" dataDxfId="53">
      <calculatedColumnFormula>(490000+16800*(1000*B103)^0.6)*(913.9/525.4)</calculatedColumnFormula>
    </tableColumn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id="18" name="Table121516171819" displayName="Table121516171819" ref="A113:B117" totalsRowShown="0" headerRowDxfId="52" dataDxfId="51">
  <autoFilter ref="A113:B117"/>
  <tableColumns count="2">
    <tableColumn id="1" name="Seawater Pump" dataDxfId="50"/>
    <tableColumn id="2" name="(6900+206*V^0.9)*(I2/I1)" dataDxfId="49">
      <calculatedColumnFormula>(490000+16800*(1000*B109)^0.6)*(913.9/525.4)</calculatedColumnFormula>
    </tableColumn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id="19" name="Table12151617181920" displayName="Table12151617181920" ref="A119:B124" totalsRowShown="0" headerRowDxfId="48" dataDxfId="47">
  <autoFilter ref="A119:B124"/>
  <tableColumns count="2">
    <tableColumn id="1" name="Flue Gas Desulfurization" dataDxfId="46" dataCellStyle="Normal"/>
    <tableColumn id="2" name="C*P*(I2/I1)" dataDxfId="45" dataCellStyle="Normal">
      <calculatedColumnFormula>(490000+16800*(1000*B115)^0.6)*(913.9/525.4)</calculatedColumnFormula>
    </tableColumn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id="20" name="Table20" displayName="Table20" ref="A126:B131" totalsRowShown="0" headerRowDxfId="44" dataDxfId="43">
  <autoFilter ref="A126:B131"/>
  <tableColumns count="2">
    <tableColumn id="1" name="CO2 Removal" dataDxfId="42"/>
    <tableColumn id="2" name="C = x*C1*(I2/I1)" dataDxfId="41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id="23" name="Table2024" displayName="Table2024" ref="A138:B166" totalsRowShown="0" headerRowDxfId="40" dataDxfId="39">
  <autoFilter ref="A138:B166"/>
  <tableColumns count="2">
    <tableColumn id="1" name="Installation factors" dataDxfId="38"/>
    <tableColumn id="2" name=" " dataDxfId="37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id="24" name="Table12151625" displayName="Table12151625" ref="A89:B93" totalsRowShown="0" headerRowDxfId="36" dataDxfId="35">
  <autoFilter ref="A89:B93"/>
  <tableColumns count="2">
    <tableColumn id="1" name="HP CO2 Pump" dataDxfId="34"/>
    <tableColumn id="2" name="(6900+206*V^0.9)*(I2/I1)" dataDxfId="33">
      <calculatedColumnFormula>(490000+16800*(1000*B79)^0.6)*(913.9/525.4)</calculatedColumnFormula>
    </tableColumn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3" name="Table3" displayName="Table3" ref="A10:B16" totalsRowShown="0" headerRowDxfId="104" dataDxfId="103">
  <autoFilter ref="A10:B16"/>
  <tableColumns count="2">
    <tableColumn id="1" name="HP Turbine" dataDxfId="102"/>
    <tableColumn id="2" name="C2 = C1(S2/S1)^0.67*(I2/I1)" dataDxfId="101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id="25" name="Table202426" displayName="Table202426" ref="A168:B193" headerRowCellStyle="Normal" dataCellStyle="Normal" totalsRowCellStyle="Normal">
  <autoFilter ref="A168:B193"/>
  <tableColumns count="2">
    <tableColumn id="1" name="Installed Capital Costs" totalsRowLabel="Total" dataCellStyle="Normal"/>
    <tableColumn id="2" name=" " totalsRowFunction="sum" dataCellStyle="Normal">
      <calculatedColumnFormula>B$8*B148</calculatedColumnFormula>
    </tableColumn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id="26" name="Table26" displayName="Table26" ref="A221:B227" totalsRowShown="0" headerRowDxfId="32" dataDxfId="30" headerRowBorderDxfId="31" tableBorderDxfId="29">
  <autoFilter ref="A221:B227"/>
  <tableColumns count="2">
    <tableColumn id="1" name="Labor" dataDxfId="28"/>
    <tableColumn id="2" name=" " dataDxfId="27" totalsRowDxfId="26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id="27" name="Table2628" displayName="Table2628" ref="A229:B236" totalsRowShown="0" headerRowDxfId="25" dataDxfId="24" headerRowCellStyle="Normal" dataCellStyle="Normal">
  <autoFilter ref="A229:B236"/>
  <tableColumns count="2">
    <tableColumn id="1" name="Diesel consumption" dataDxfId="23" dataCellStyle="Normal"/>
    <tableColumn id="2" name=" " dataDxfId="22" totalsRowDxfId="21" dataCellStyle="Normal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id="29" name="Table29" displayName="Table29" ref="A238:B243" totalsRowShown="0" headerRowDxfId="20" dataDxfId="19">
  <autoFilter ref="A238:B243"/>
  <tableColumns count="2">
    <tableColumn id="1" name="Coal consumption" dataDxfId="18"/>
    <tableColumn id="2" name=" " dataDxfId="17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id="31" name="Table263132" displayName="Table263132" ref="A271:B281" totalsRowShown="0" headerRowDxfId="16" dataDxfId="15" headerRowCellStyle="Normal" dataCellStyle="Normal">
  <autoFilter ref="A271:B281"/>
  <tableColumns count="2">
    <tableColumn id="1" name=" " dataDxfId="14" dataCellStyle="Normal"/>
    <tableColumn id="2" name="  " dataDxfId="13" totalsRowDxfId="12" dataCellStyle="Normal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id="32" name="Table2933" displayName="Table2933" ref="A245:B249" totalsRowShown="0" headerRowCellStyle="Normal" dataCellStyle="Normal">
  <autoFilter ref="A245:B249"/>
  <tableColumns count="2">
    <tableColumn id="1" name="Operations and Maintenance costs" dataCellStyle="Normal"/>
    <tableColumn id="2" name=" " dataCellStyle="Normal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id="1" name="Table29332" displayName="Table29332" ref="A251:B256" totalsRowShown="0" headerRowCellStyle="Normal" dataCellStyle="Normal">
  <autoFilter ref="A251:B256"/>
  <tableColumns count="2">
    <tableColumn id="1" name="Cost of Chemicals" dataCellStyle="Normal"/>
    <tableColumn id="2" name=" " dataCellStyle="Normal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id="8" name="Table2631329" displayName="Table2631329" ref="A285:B288" totalsRowShown="0" headerRowDxfId="11" dataDxfId="10" headerRowCellStyle="Normal" dataCellStyle="Normal">
  <autoFilter ref="A285:B288"/>
  <tableColumns count="2">
    <tableColumn id="1" name="Working capital" dataDxfId="9" dataCellStyle="Normal"/>
    <tableColumn id="2" name="  " dataDxfId="8" totalsRowDxfId="7" dataCellStyle="Normal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id="13" name="Table2014" displayName="Table2014" ref="A133:B136" totalsRowShown="0" headerRowDxfId="6" dataDxfId="5">
  <autoFilter ref="A133:B136"/>
  <tableColumns count="2">
    <tableColumn id="1" name="Central heat pump" dataDxfId="4"/>
    <tableColumn id="2" name=" " dataDxfId="3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id="21" name="Table21" displayName="Table21" ref="A258:B259" totalsRowShown="0" headerRowDxfId="2">
  <autoFilter ref="A258:B259"/>
  <tableColumns count="2">
    <tableColumn id="1" name="Total" dataDxfId="1"/>
    <tableColumn id="2" name=" " dataDxfId="0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id="4" name="Table35" displayName="Table35" ref="A18:B24" totalsRowShown="0" headerRowDxfId="100" dataDxfId="99">
  <autoFilter ref="A18:B24"/>
  <tableColumns count="2">
    <tableColumn id="1" name="IP Turbine" dataDxfId="98"/>
    <tableColumn id="2" name="C2 = C1(S2/S1)^0.67*(I2/I1)" dataDxfId="97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id="5" name="Table356" displayName="Table356" ref="A26:B32" totalsRowShown="0" headerRowDxfId="96" dataDxfId="95">
  <autoFilter ref="A26:B32"/>
  <tableColumns count="2">
    <tableColumn id="1" name="LP Turbine" dataDxfId="94"/>
    <tableColumn id="2" name="C2 = C1(S2/S1)^0.67*(I2/I1)" dataDxfId="93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id="6" name="Table6" displayName="Table6" ref="A34:B40" totalsRowShown="0" headerRowDxfId="92" dataDxfId="91">
  <autoFilter ref="A34:B40"/>
  <tableColumns count="2">
    <tableColumn id="1" name="District Heat Exchanger" dataDxfId="90"/>
    <tableColumn id="2" name="(24000+46*A^1.2)*(I2/I1)" dataDxfId="89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id="7" name="Table7" displayName="Table7" ref="A42:B51" totalsRowShown="0" headerRowDxfId="88" dataDxfId="87">
  <autoFilter ref="A42:B51"/>
  <tableColumns count="2">
    <tableColumn id="1" name="Vacuum Condensers" dataDxfId="86"/>
    <tableColumn id="2" name="(24000+46*A^1.2)*(I2/I1)" dataDxfId="85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id="9" name="Table9" displayName="Table9" ref="A53:B59" totalsRowShown="0" headerRowDxfId="84" dataDxfId="83">
  <autoFilter ref="A53:B59"/>
  <tableColumns count="2">
    <tableColumn id="1" name="CO2 Cooler" dataDxfId="82"/>
    <tableColumn id="2" name="(24000+46*A^1.2)*(I2/I1)" dataDxfId="81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id="10" name="Table10" displayName="Table10" ref="A61:B67" totalsRowShown="0" headerRowDxfId="80" dataDxfId="79">
  <autoFilter ref="A61:B67"/>
  <tableColumns count="2">
    <tableColumn id="1" name="LP CO2 Cooler" dataDxfId="78"/>
    <tableColumn id="2" name="(24000+46*A^1.2)*(I2/I1)" dataDxfId="77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id="11" name="Table11" displayName="Table11" ref="A69:B75" totalsRowShown="0" headerRowDxfId="76" dataDxfId="75">
  <autoFilter ref="A69:B75"/>
  <tableColumns count="2">
    <tableColumn id="1" name="IP CO2 Cooler" dataDxfId="74"/>
    <tableColumn id="2" name="(24000+46*A^1.2)*(I2/I1)" dataDxfId="73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/>
  </sheetViews>
  <sheetFormatPr defaultRowHeight="14.25" x14ac:dyDescent="0.2"/>
  <sheetData>
    <row r="1" spans="1:2" x14ac:dyDescent="0.2">
      <c r="A1" t="s">
        <v>16</v>
      </c>
      <c r="B1" t="s">
        <v>17</v>
      </c>
    </row>
    <row r="2" spans="1:2" x14ac:dyDescent="0.2">
      <c r="A2" s="1" t="s">
        <v>144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88"/>
  <sheetViews>
    <sheetView topLeftCell="A256" zoomScaleNormal="100" zoomScaleSheetLayoutView="40" workbookViewId="0">
      <selection activeCell="F266" sqref="F266"/>
    </sheetView>
  </sheetViews>
  <sheetFormatPr defaultRowHeight="14.25" x14ac:dyDescent="0.2"/>
  <cols>
    <col min="1" max="1" width="43.375" style="6" customWidth="1"/>
    <col min="2" max="2" width="31.25" style="6" bestFit="1" customWidth="1"/>
    <col min="3" max="4" width="9" style="6"/>
    <col min="5" max="5" width="15.5" style="6" customWidth="1"/>
    <col min="6" max="6" width="11.875" style="6" customWidth="1"/>
    <col min="7" max="7" width="12" style="6" bestFit="1" customWidth="1"/>
    <col min="8" max="16" width="9" style="6"/>
    <col min="17" max="17" width="13.875" style="6" customWidth="1"/>
    <col min="18" max="18" width="9" style="6"/>
    <col min="19" max="19" width="11.5" style="6" customWidth="1"/>
    <col min="20" max="20" width="9" style="6"/>
    <col min="21" max="21" width="14.75" style="6" customWidth="1"/>
    <col min="22" max="22" width="11.75" style="6" customWidth="1"/>
    <col min="23" max="23" width="11.5" style="6" customWidth="1"/>
    <col min="24" max="16384" width="9" style="6"/>
  </cols>
  <sheetData>
    <row r="1" spans="1:19" ht="25.5" x14ac:dyDescent="0.35">
      <c r="A1" s="86" t="s">
        <v>37</v>
      </c>
      <c r="B1" s="86"/>
    </row>
    <row r="2" spans="1:19" x14ac:dyDescent="0.2">
      <c r="A2" s="5" t="s">
        <v>0</v>
      </c>
      <c r="B2" s="6" t="s">
        <v>20</v>
      </c>
    </row>
    <row r="3" spans="1:19" x14ac:dyDescent="0.2">
      <c r="A3" s="7" t="s">
        <v>18</v>
      </c>
      <c r="B3" s="6">
        <v>13.4215471437719</v>
      </c>
    </row>
    <row r="4" spans="1:19" x14ac:dyDescent="0.2">
      <c r="A4" s="6" t="s">
        <v>15</v>
      </c>
      <c r="B4" s="8">
        <v>339189000</v>
      </c>
    </row>
    <row r="5" spans="1:19" x14ac:dyDescent="0.2">
      <c r="A5" s="7" t="s">
        <v>19</v>
      </c>
      <c r="B5" s="6">
        <v>550</v>
      </c>
      <c r="E5" s="6">
        <v>2102643</v>
      </c>
      <c r="S5" s="9"/>
    </row>
    <row r="6" spans="1:19" x14ac:dyDescent="0.2">
      <c r="A6" s="6" t="s">
        <v>21</v>
      </c>
      <c r="B6" s="6">
        <v>630.20000000000005</v>
      </c>
    </row>
    <row r="7" spans="1:19" x14ac:dyDescent="0.2">
      <c r="A7" s="7" t="s">
        <v>22</v>
      </c>
      <c r="B7" s="6">
        <v>525.4</v>
      </c>
    </row>
    <row r="8" spans="1:19" x14ac:dyDescent="0.2">
      <c r="A8" s="10" t="str">
        <f>"Capital Cost of "&amp;A2</f>
        <v>Capital Cost of Boiler</v>
      </c>
      <c r="B8" s="11">
        <f>B4*(B3/B5)^0.67*(630.2/525.4)</f>
        <v>33807637.056742534</v>
      </c>
    </row>
    <row r="10" spans="1:19" x14ac:dyDescent="0.2">
      <c r="A10" s="6" t="s">
        <v>1</v>
      </c>
      <c r="B10" s="6" t="s">
        <v>20</v>
      </c>
    </row>
    <row r="11" spans="1:19" x14ac:dyDescent="0.2">
      <c r="A11" s="7" t="s">
        <v>18</v>
      </c>
      <c r="B11" s="6">
        <v>2.9938654095295898</v>
      </c>
    </row>
    <row r="12" spans="1:19" x14ac:dyDescent="0.2">
      <c r="A12" s="6" t="s">
        <v>15</v>
      </c>
      <c r="B12" s="8">
        <v>834000</v>
      </c>
    </row>
    <row r="13" spans="1:19" x14ac:dyDescent="0.2">
      <c r="A13" s="7" t="s">
        <v>19</v>
      </c>
      <c r="B13" s="6">
        <v>3</v>
      </c>
    </row>
    <row r="14" spans="1:19" x14ac:dyDescent="0.2">
      <c r="A14" s="6" t="s">
        <v>21</v>
      </c>
      <c r="B14" s="6">
        <v>657.7</v>
      </c>
    </row>
    <row r="15" spans="1:19" x14ac:dyDescent="0.2">
      <c r="A15" s="7" t="s">
        <v>22</v>
      </c>
      <c r="B15" s="6">
        <v>575.4</v>
      </c>
    </row>
    <row r="16" spans="1:19" x14ac:dyDescent="0.2">
      <c r="A16" s="10" t="str">
        <f>"Capital Cost of "&amp;A10</f>
        <v>Capital Cost of HP Turbine</v>
      </c>
      <c r="B16" s="11">
        <f>B12*(B11/B13)^0.67*(B$14/B$15)</f>
        <v>951981.29863392608</v>
      </c>
    </row>
    <row r="18" spans="1:2" x14ac:dyDescent="0.2">
      <c r="A18" s="6" t="s">
        <v>2</v>
      </c>
      <c r="B18" s="6" t="s">
        <v>20</v>
      </c>
    </row>
    <row r="19" spans="1:2" x14ac:dyDescent="0.2">
      <c r="A19" s="7" t="s">
        <v>18</v>
      </c>
      <c r="B19" s="6">
        <v>0</v>
      </c>
    </row>
    <row r="20" spans="1:2" x14ac:dyDescent="0.2">
      <c r="A20" s="6" t="s">
        <v>15</v>
      </c>
      <c r="B20" s="8">
        <v>834000</v>
      </c>
    </row>
    <row r="21" spans="1:2" x14ac:dyDescent="0.2">
      <c r="A21" s="7" t="s">
        <v>19</v>
      </c>
      <c r="B21" s="6">
        <v>3</v>
      </c>
    </row>
    <row r="22" spans="1:2" x14ac:dyDescent="0.2">
      <c r="A22" s="6" t="s">
        <v>21</v>
      </c>
      <c r="B22" s="6">
        <v>657.7</v>
      </c>
    </row>
    <row r="23" spans="1:2" x14ac:dyDescent="0.2">
      <c r="A23" s="7" t="s">
        <v>22</v>
      </c>
      <c r="B23" s="6">
        <v>575.4</v>
      </c>
    </row>
    <row r="24" spans="1:2" x14ac:dyDescent="0.2">
      <c r="A24" s="10" t="str">
        <f>"Capital Cost of "&amp;A18</f>
        <v>Capital Cost of IP Turbine</v>
      </c>
      <c r="B24" s="11">
        <f>B20*(B19/B21)^0.67*(B$14/B$15)</f>
        <v>0</v>
      </c>
    </row>
    <row r="26" spans="1:2" x14ac:dyDescent="0.2">
      <c r="A26" s="6" t="s">
        <v>3</v>
      </c>
      <c r="B26" s="6" t="s">
        <v>20</v>
      </c>
    </row>
    <row r="27" spans="1:2" x14ac:dyDescent="0.2">
      <c r="A27" s="7" t="s">
        <v>18</v>
      </c>
      <c r="B27" s="6">
        <v>12.657096661533799</v>
      </c>
    </row>
    <row r="28" spans="1:2" x14ac:dyDescent="0.2">
      <c r="A28" s="6" t="s">
        <v>15</v>
      </c>
      <c r="B28" s="8">
        <v>834000</v>
      </c>
    </row>
    <row r="29" spans="1:2" x14ac:dyDescent="0.2">
      <c r="A29" s="7" t="s">
        <v>19</v>
      </c>
      <c r="B29" s="6">
        <v>3</v>
      </c>
    </row>
    <row r="30" spans="1:2" x14ac:dyDescent="0.2">
      <c r="A30" s="6" t="s">
        <v>21</v>
      </c>
      <c r="B30" s="6">
        <v>657.7</v>
      </c>
    </row>
    <row r="31" spans="1:2" x14ac:dyDescent="0.2">
      <c r="A31" s="7" t="s">
        <v>22</v>
      </c>
      <c r="B31" s="6">
        <v>575.4</v>
      </c>
    </row>
    <row r="32" spans="1:2" x14ac:dyDescent="0.2">
      <c r="A32" s="10" t="str">
        <f>"Capital Cost of "&amp;A26</f>
        <v>Capital Cost of LP Turbine</v>
      </c>
      <c r="B32" s="11">
        <f>B28*(B27/B29)^0.67*(B$14/B$15)</f>
        <v>2501016.9734643321</v>
      </c>
    </row>
    <row r="34" spans="1:2" x14ac:dyDescent="0.2">
      <c r="A34" s="6" t="s">
        <v>23</v>
      </c>
      <c r="B34" s="6" t="s">
        <v>27</v>
      </c>
    </row>
    <row r="35" spans="1:2" x14ac:dyDescent="0.2">
      <c r="A35" s="6" t="s">
        <v>24</v>
      </c>
      <c r="B35" s="6">
        <v>126061.195540805</v>
      </c>
    </row>
    <row r="36" spans="1:2" x14ac:dyDescent="0.2">
      <c r="A36" s="6" t="s">
        <v>25</v>
      </c>
      <c r="B36" s="6">
        <v>1200</v>
      </c>
    </row>
    <row r="37" spans="1:2" x14ac:dyDescent="0.2">
      <c r="A37" s="6" t="s">
        <v>26</v>
      </c>
      <c r="B37" s="6">
        <f>B35/B36</f>
        <v>105.05099628400417</v>
      </c>
    </row>
    <row r="38" spans="1:2" x14ac:dyDescent="0.2">
      <c r="A38" s="6" t="s">
        <v>21</v>
      </c>
      <c r="B38" s="6">
        <v>630.20000000000005</v>
      </c>
    </row>
    <row r="39" spans="1:2" x14ac:dyDescent="0.2">
      <c r="A39" s="6" t="s">
        <v>22</v>
      </c>
      <c r="B39" s="6">
        <v>525.4</v>
      </c>
    </row>
    <row r="40" spans="1:2" x14ac:dyDescent="0.2">
      <c r="A40" s="10" t="str">
        <f>"Capital Cost of "&amp;A34</f>
        <v>Capital Cost of District Heat Exchanger</v>
      </c>
      <c r="B40" s="8">
        <v>0</v>
      </c>
    </row>
    <row r="42" spans="1:2" x14ac:dyDescent="0.2">
      <c r="A42" s="2" t="s">
        <v>133</v>
      </c>
      <c r="B42" s="6" t="s">
        <v>27</v>
      </c>
    </row>
    <row r="43" spans="1:2" x14ac:dyDescent="0.2">
      <c r="A43" s="7" t="s">
        <v>24</v>
      </c>
      <c r="B43" s="6">
        <v>12261753.5402871</v>
      </c>
    </row>
    <row r="44" spans="1:2" x14ac:dyDescent="0.2">
      <c r="A44" s="6" t="s">
        <v>25</v>
      </c>
      <c r="B44" s="6">
        <v>1200</v>
      </c>
    </row>
    <row r="45" spans="1:2" x14ac:dyDescent="0.2">
      <c r="A45" s="7" t="s">
        <v>26</v>
      </c>
      <c r="B45" s="6">
        <f>B43/B44</f>
        <v>10218.12795023925</v>
      </c>
    </row>
    <row r="46" spans="1:2" x14ac:dyDescent="0.2">
      <c r="A46" s="77" t="s">
        <v>130</v>
      </c>
      <c r="B46" s="78">
        <v>10</v>
      </c>
    </row>
    <row r="47" spans="1:2" x14ac:dyDescent="0.2">
      <c r="A47" s="77" t="s">
        <v>131</v>
      </c>
      <c r="B47" s="78">
        <f>B45/B46</f>
        <v>1021.812795023925</v>
      </c>
    </row>
    <row r="48" spans="1:2" x14ac:dyDescent="0.2">
      <c r="A48" s="6" t="s">
        <v>21</v>
      </c>
      <c r="B48" s="6">
        <v>630.20000000000005</v>
      </c>
    </row>
    <row r="49" spans="1:2" x14ac:dyDescent="0.2">
      <c r="A49" s="6" t="s">
        <v>22</v>
      </c>
      <c r="B49" s="6">
        <v>525.4</v>
      </c>
    </row>
    <row r="50" spans="1:2" x14ac:dyDescent="0.2">
      <c r="A50" s="78" t="s">
        <v>132</v>
      </c>
      <c r="B50" s="11">
        <f>(24000+46*B47^1.2)*(B$38/B$39)</f>
        <v>254206.85705282344</v>
      </c>
    </row>
    <row r="51" spans="1:2" x14ac:dyDescent="0.2">
      <c r="A51" s="10" t="str">
        <f>"Capital Cost of "&amp;A42</f>
        <v>Capital Cost of Vacuum Condensers</v>
      </c>
      <c r="B51" s="11">
        <f>B50*B46</f>
        <v>2542068.5705282344</v>
      </c>
    </row>
    <row r="53" spans="1:2" x14ac:dyDescent="0.2">
      <c r="A53" s="6" t="s">
        <v>5</v>
      </c>
      <c r="B53" s="6" t="s">
        <v>27</v>
      </c>
    </row>
    <row r="54" spans="1:2" x14ac:dyDescent="0.2">
      <c r="A54" s="7" t="s">
        <v>24</v>
      </c>
      <c r="B54" s="6">
        <v>14777.8191134679</v>
      </c>
    </row>
    <row r="55" spans="1:2" x14ac:dyDescent="0.2">
      <c r="A55" s="6" t="s">
        <v>25</v>
      </c>
      <c r="B55" s="6">
        <v>50</v>
      </c>
    </row>
    <row r="56" spans="1:2" x14ac:dyDescent="0.2">
      <c r="A56" s="7" t="s">
        <v>26</v>
      </c>
      <c r="B56" s="6">
        <f>B54/B55</f>
        <v>295.55638226935798</v>
      </c>
    </row>
    <row r="57" spans="1:2" x14ac:dyDescent="0.2">
      <c r="A57" s="6" t="s">
        <v>21</v>
      </c>
      <c r="B57" s="6">
        <v>630.20000000000005</v>
      </c>
    </row>
    <row r="58" spans="1:2" x14ac:dyDescent="0.2">
      <c r="A58" s="6" t="s">
        <v>22</v>
      </c>
      <c r="B58" s="6">
        <v>525.4</v>
      </c>
    </row>
    <row r="59" spans="1:2" x14ac:dyDescent="0.2">
      <c r="A59" s="10" t="str">
        <f>"Capital Cost of "&amp;A53</f>
        <v>Capital Cost of CO2 Cooler</v>
      </c>
      <c r="B59" s="11">
        <f>(24000+46*B56^1.2)*(B$38/B$39)</f>
        <v>79663.398795158428</v>
      </c>
    </row>
    <row r="60" spans="1:2" x14ac:dyDescent="0.2">
      <c r="B60" s="5"/>
    </row>
    <row r="61" spans="1:2" x14ac:dyDescent="0.2">
      <c r="A61" s="6" t="s">
        <v>6</v>
      </c>
      <c r="B61" s="6" t="s">
        <v>27</v>
      </c>
    </row>
    <row r="62" spans="1:2" x14ac:dyDescent="0.2">
      <c r="A62" s="7" t="s">
        <v>24</v>
      </c>
      <c r="B62" s="6">
        <v>22420.494410260799</v>
      </c>
    </row>
    <row r="63" spans="1:2" x14ac:dyDescent="0.2">
      <c r="A63" s="6" t="s">
        <v>25</v>
      </c>
      <c r="B63" s="6">
        <v>100</v>
      </c>
    </row>
    <row r="64" spans="1:2" x14ac:dyDescent="0.2">
      <c r="A64" s="7" t="s">
        <v>26</v>
      </c>
      <c r="B64" s="6">
        <f>B62/B63</f>
        <v>224.20494410260798</v>
      </c>
    </row>
    <row r="65" spans="1:9" x14ac:dyDescent="0.2">
      <c r="A65" s="6" t="s">
        <v>21</v>
      </c>
      <c r="B65" s="6">
        <v>630.20000000000005</v>
      </c>
    </row>
    <row r="66" spans="1:9" x14ac:dyDescent="0.2">
      <c r="A66" s="6" t="s">
        <v>22</v>
      </c>
      <c r="B66" s="6">
        <v>525.4</v>
      </c>
      <c r="I66" s="9"/>
    </row>
    <row r="67" spans="1:9" x14ac:dyDescent="0.2">
      <c r="A67" s="10" t="str">
        <f>"Capital Cost of "&amp;A61</f>
        <v>Capital Cost of LP CO2 Cooler</v>
      </c>
      <c r="B67" s="11">
        <f>(24000+46*B64^1.2)*(B$38/B$39)</f>
        <v>65306.336524304337</v>
      </c>
    </row>
    <row r="69" spans="1:9" x14ac:dyDescent="0.2">
      <c r="A69" s="6" t="s">
        <v>7</v>
      </c>
      <c r="B69" s="6" t="s">
        <v>27</v>
      </c>
    </row>
    <row r="70" spans="1:9" x14ac:dyDescent="0.2">
      <c r="A70" s="7" t="s">
        <v>24</v>
      </c>
      <c r="B70" s="6">
        <v>88258.812804175206</v>
      </c>
    </row>
    <row r="71" spans="1:9" x14ac:dyDescent="0.2">
      <c r="A71" s="6" t="s">
        <v>25</v>
      </c>
      <c r="B71" s="6">
        <v>700</v>
      </c>
    </row>
    <row r="72" spans="1:9" x14ac:dyDescent="0.2">
      <c r="A72" s="7" t="s">
        <v>26</v>
      </c>
      <c r="B72" s="6">
        <f>B70/B71</f>
        <v>126.08401829167886</v>
      </c>
    </row>
    <row r="73" spans="1:9" x14ac:dyDescent="0.2">
      <c r="A73" s="6" t="s">
        <v>21</v>
      </c>
      <c r="B73" s="6">
        <v>630.20000000000005</v>
      </c>
    </row>
    <row r="74" spans="1:9" x14ac:dyDescent="0.2">
      <c r="A74" s="6" t="s">
        <v>22</v>
      </c>
      <c r="B74" s="6">
        <v>525.4</v>
      </c>
    </row>
    <row r="75" spans="1:9" x14ac:dyDescent="0.2">
      <c r="A75" s="10" t="str">
        <f>"Capital Cost of "&amp;A69</f>
        <v>Capital Cost of IP CO2 Cooler</v>
      </c>
      <c r="B75" s="11">
        <f>(24000+46*B72^1.2)*(B$38/B$39)</f>
        <v>47090.881195960312</v>
      </c>
    </row>
    <row r="77" spans="1:9" x14ac:dyDescent="0.2">
      <c r="A77" s="6" t="s">
        <v>8</v>
      </c>
      <c r="B77" s="6" t="s">
        <v>28</v>
      </c>
    </row>
    <row r="78" spans="1:9" x14ac:dyDescent="0.2">
      <c r="A78" s="7" t="s">
        <v>29</v>
      </c>
      <c r="B78" s="6">
        <f>0.960752730364977*1000</f>
        <v>960.75273036497697</v>
      </c>
    </row>
    <row r="79" spans="1:9" x14ac:dyDescent="0.2">
      <c r="A79" s="6" t="s">
        <v>21</v>
      </c>
      <c r="B79" s="6">
        <v>913.9</v>
      </c>
    </row>
    <row r="80" spans="1:9" x14ac:dyDescent="0.2">
      <c r="A80" s="7" t="s">
        <v>22</v>
      </c>
      <c r="B80" s="6">
        <v>525.4</v>
      </c>
    </row>
    <row r="81" spans="1:2" x14ac:dyDescent="0.2">
      <c r="A81" s="10" t="str">
        <f>"Capital Cost of "&amp;A77</f>
        <v>Capital Cost of LP CO2 Compressor</v>
      </c>
      <c r="B81" s="11">
        <f>(490000+16800*(B78)^0.6)*(B$79/B$80)</f>
        <v>2652375.1802431145</v>
      </c>
    </row>
    <row r="83" spans="1:2" x14ac:dyDescent="0.2">
      <c r="A83" s="6" t="s">
        <v>9</v>
      </c>
      <c r="B83" s="6" t="s">
        <v>28</v>
      </c>
    </row>
    <row r="84" spans="1:2" x14ac:dyDescent="0.2">
      <c r="A84" s="7" t="s">
        <v>29</v>
      </c>
      <c r="B84" s="6">
        <f>0.960752730364977*1000</f>
        <v>960.75273036497697</v>
      </c>
    </row>
    <row r="85" spans="1:2" x14ac:dyDescent="0.2">
      <c r="A85" s="6" t="s">
        <v>21</v>
      </c>
      <c r="B85" s="6">
        <v>913.9</v>
      </c>
    </row>
    <row r="86" spans="1:2" x14ac:dyDescent="0.2">
      <c r="A86" s="7" t="s">
        <v>22</v>
      </c>
      <c r="B86" s="6">
        <v>525.4</v>
      </c>
    </row>
    <row r="87" spans="1:2" x14ac:dyDescent="0.2">
      <c r="A87" s="10" t="str">
        <f>"Capital Cost of "&amp;A83</f>
        <v>Capital Cost of IP CO2 Compressor</v>
      </c>
      <c r="B87" s="11">
        <f>(490000+16800*(B84)^0.6)*(B$79/B$80)</f>
        <v>2652375.1802431145</v>
      </c>
    </row>
    <row r="89" spans="1:2" x14ac:dyDescent="0.2">
      <c r="A89" s="6" t="s">
        <v>10</v>
      </c>
      <c r="B89" s="6" t="s">
        <v>30</v>
      </c>
    </row>
    <row r="90" spans="1:2" x14ac:dyDescent="0.2">
      <c r="A90" s="7" t="s">
        <v>31</v>
      </c>
      <c r="B90" s="2">
        <f>0.00780101098188076*1000</f>
        <v>7.8010109818807596</v>
      </c>
    </row>
    <row r="91" spans="1:2" x14ac:dyDescent="0.2">
      <c r="A91" s="6" t="s">
        <v>21</v>
      </c>
      <c r="B91" s="6">
        <v>913.9</v>
      </c>
    </row>
    <row r="92" spans="1:2" x14ac:dyDescent="0.2">
      <c r="A92" s="7" t="s">
        <v>22</v>
      </c>
      <c r="B92" s="6">
        <v>525.4</v>
      </c>
    </row>
    <row r="93" spans="1:2" x14ac:dyDescent="0.2">
      <c r="A93" s="10" t="str">
        <f>"Capital Cost of "&amp;A89</f>
        <v>Capital Cost of HP CO2 Pump</v>
      </c>
      <c r="B93" s="11">
        <f>(6900+206*B90^0.9)*(B$97/B$98)</f>
        <v>14278.319020951809</v>
      </c>
    </row>
    <row r="95" spans="1:2" x14ac:dyDescent="0.2">
      <c r="A95" s="6" t="s">
        <v>11</v>
      </c>
      <c r="B95" s="6" t="s">
        <v>30</v>
      </c>
    </row>
    <row r="96" spans="1:2" x14ac:dyDescent="0.2">
      <c r="A96" s="7" t="s">
        <v>31</v>
      </c>
      <c r="B96" s="6">
        <f>0.00889550545560685*1000</f>
        <v>8.89550545560685</v>
      </c>
    </row>
    <row r="97" spans="1:2" x14ac:dyDescent="0.2">
      <c r="A97" s="6" t="s">
        <v>21</v>
      </c>
      <c r="B97" s="6">
        <v>913.9</v>
      </c>
    </row>
    <row r="98" spans="1:2" x14ac:dyDescent="0.2">
      <c r="A98" s="7" t="s">
        <v>22</v>
      </c>
      <c r="B98" s="6">
        <v>525.4</v>
      </c>
    </row>
    <row r="99" spans="1:2" x14ac:dyDescent="0.2">
      <c r="A99" s="10" t="str">
        <f>"Capital Cost of "&amp;A95</f>
        <v>Capital Cost of Main Water Pump</v>
      </c>
      <c r="B99" s="11">
        <f>(6900+206*B96^0.9)*(B$97/B$98)</f>
        <v>14563.819331380921</v>
      </c>
    </row>
    <row r="101" spans="1:2" x14ac:dyDescent="0.2">
      <c r="A101" s="6" t="s">
        <v>12</v>
      </c>
      <c r="B101" s="6" t="s">
        <v>30</v>
      </c>
    </row>
    <row r="102" spans="1:2" x14ac:dyDescent="0.2">
      <c r="A102" s="7" t="s">
        <v>31</v>
      </c>
      <c r="B102" s="6">
        <f>17.1656590352361/3.6</f>
        <v>4.7682386208989165</v>
      </c>
    </row>
    <row r="103" spans="1:2" x14ac:dyDescent="0.2">
      <c r="A103" s="6" t="s">
        <v>21</v>
      </c>
      <c r="B103" s="6">
        <v>913.9</v>
      </c>
    </row>
    <row r="104" spans="1:2" x14ac:dyDescent="0.2">
      <c r="A104" s="7" t="s">
        <v>22</v>
      </c>
      <c r="B104" s="6">
        <v>525.4</v>
      </c>
    </row>
    <row r="105" spans="1:2" x14ac:dyDescent="0.2">
      <c r="A105" s="10" t="str">
        <f>"Capital Cost of "&amp;A101</f>
        <v>Capital Cost of LP Water Pump</v>
      </c>
      <c r="B105" s="11">
        <v>0</v>
      </c>
    </row>
    <row r="107" spans="1:2" x14ac:dyDescent="0.2">
      <c r="A107" s="6" t="s">
        <v>13</v>
      </c>
      <c r="B107" s="6" t="s">
        <v>30</v>
      </c>
    </row>
    <row r="108" spans="1:2" x14ac:dyDescent="0.2">
      <c r="A108" s="7" t="s">
        <v>31</v>
      </c>
      <c r="B108" s="6">
        <f>238.250070050114/3.6</f>
        <v>66.18057501392056</v>
      </c>
    </row>
    <row r="109" spans="1:2" x14ac:dyDescent="0.2">
      <c r="A109" s="6" t="s">
        <v>21</v>
      </c>
      <c r="B109" s="6">
        <v>913.9</v>
      </c>
    </row>
    <row r="110" spans="1:2" x14ac:dyDescent="0.2">
      <c r="A110" s="7" t="s">
        <v>22</v>
      </c>
      <c r="B110" s="6">
        <v>525.4</v>
      </c>
    </row>
    <row r="111" spans="1:2" x14ac:dyDescent="0.2">
      <c r="A111" s="10" t="str">
        <f>"Capital Cost of "&amp;A107</f>
        <v>Capital Cost of District Heat Water Pump</v>
      </c>
      <c r="B111" s="11">
        <v>0</v>
      </c>
    </row>
    <row r="113" spans="1:2" x14ac:dyDescent="0.2">
      <c r="A113" s="6" t="s">
        <v>14</v>
      </c>
      <c r="B113" s="6" t="s">
        <v>30</v>
      </c>
    </row>
    <row r="114" spans="1:2" x14ac:dyDescent="0.2">
      <c r="A114" s="7" t="s">
        <v>32</v>
      </c>
      <c r="B114" s="2">
        <f>3.10924672636276*1000</f>
        <v>3109.24672636276</v>
      </c>
    </row>
    <row r="115" spans="1:2" x14ac:dyDescent="0.2">
      <c r="A115" s="6" t="s">
        <v>21</v>
      </c>
      <c r="B115" s="6">
        <v>913.9</v>
      </c>
    </row>
    <row r="116" spans="1:2" x14ac:dyDescent="0.2">
      <c r="A116" s="7" t="s">
        <v>22</v>
      </c>
      <c r="B116" s="6">
        <v>525.4</v>
      </c>
    </row>
    <row r="117" spans="1:2" x14ac:dyDescent="0.2">
      <c r="A117" s="10" t="str">
        <f>"Capital Cost of "&amp;A113</f>
        <v>Capital Cost of Seawater Pump</v>
      </c>
      <c r="B117" s="11">
        <f>(6900+206*B114^0.9)*(B$97/B$98)</f>
        <v>510502.4957878546</v>
      </c>
    </row>
    <row r="119" spans="1:2" x14ac:dyDescent="0.2">
      <c r="A119" s="6" t="s">
        <v>33</v>
      </c>
      <c r="B119" s="6" t="s">
        <v>36</v>
      </c>
    </row>
    <row r="120" spans="1:2" x14ac:dyDescent="0.2">
      <c r="A120" s="6" t="s">
        <v>29</v>
      </c>
      <c r="B120" s="6">
        <f>13.4215471437719*1000</f>
        <v>13421.547143771899</v>
      </c>
    </row>
    <row r="121" spans="1:2" x14ac:dyDescent="0.2">
      <c r="A121" s="6" t="s">
        <v>34</v>
      </c>
      <c r="B121" s="6">
        <v>250</v>
      </c>
    </row>
    <row r="122" spans="1:2" x14ac:dyDescent="0.2">
      <c r="A122" s="6" t="s">
        <v>21</v>
      </c>
      <c r="B122" s="6">
        <v>692.9</v>
      </c>
    </row>
    <row r="123" spans="1:2" x14ac:dyDescent="0.2">
      <c r="A123" s="6" t="s">
        <v>22</v>
      </c>
      <c r="B123" s="6">
        <v>394.3</v>
      </c>
    </row>
    <row r="124" spans="1:2" x14ac:dyDescent="0.2">
      <c r="A124" s="6" t="str">
        <f>"Capital Cost of "&amp;A119</f>
        <v>Capital Cost of Flue Gas Desulfurization</v>
      </c>
      <c r="B124" s="11">
        <f>B120*B121*B122/B123</f>
        <v>5896392.3509507654</v>
      </c>
    </row>
    <row r="126" spans="1:2" x14ac:dyDescent="0.2">
      <c r="A126" s="5" t="s">
        <v>35</v>
      </c>
      <c r="B126" s="5" t="s">
        <v>90</v>
      </c>
    </row>
    <row r="127" spans="1:2" x14ac:dyDescent="0.2">
      <c r="A127" s="2" t="s">
        <v>88</v>
      </c>
      <c r="B127" s="8">
        <f>B190</f>
        <v>220792351.44811723</v>
      </c>
    </row>
    <row r="128" spans="1:2" x14ac:dyDescent="0.2">
      <c r="A128" s="2" t="s">
        <v>89</v>
      </c>
      <c r="B128" s="26">
        <v>0.87</v>
      </c>
    </row>
    <row r="129" spans="1:2" x14ac:dyDescent="0.2">
      <c r="A129" s="6" t="s">
        <v>21</v>
      </c>
      <c r="B129" s="6">
        <v>499.6</v>
      </c>
    </row>
    <row r="130" spans="1:2" x14ac:dyDescent="0.2">
      <c r="A130" s="6" t="s">
        <v>22</v>
      </c>
      <c r="B130" s="6">
        <v>692.9</v>
      </c>
    </row>
    <row r="131" spans="1:2" x14ac:dyDescent="0.2">
      <c r="A131" s="12" t="str">
        <f>"Capital Cost of "&amp;A126</f>
        <v>Capital Cost of CO2 Removal</v>
      </c>
      <c r="B131" s="11">
        <f>B127*B128*(B129/B130)</f>
        <v>138501713.2943095</v>
      </c>
    </row>
    <row r="132" spans="1:2" x14ac:dyDescent="0.2">
      <c r="A132"/>
      <c r="B132" s="11"/>
    </row>
    <row r="133" spans="1:2" x14ac:dyDescent="0.2">
      <c r="A133" s="5" t="s">
        <v>134</v>
      </c>
      <c r="B133" s="5" t="s">
        <v>49</v>
      </c>
    </row>
    <row r="134" spans="1:2" x14ac:dyDescent="0.2">
      <c r="A134" s="2" t="s">
        <v>135</v>
      </c>
      <c r="B134" s="14">
        <v>14000</v>
      </c>
    </row>
    <row r="135" spans="1:2" x14ac:dyDescent="0.2">
      <c r="A135" s="78" t="s">
        <v>136</v>
      </c>
      <c r="B135" s="79">
        <v>12000</v>
      </c>
    </row>
    <row r="136" spans="1:2" x14ac:dyDescent="0.2">
      <c r="A136" s="12" t="str">
        <f>"Capital Cost of "&amp;A133</f>
        <v>Capital Cost of Central heat pump</v>
      </c>
      <c r="B136" s="20">
        <f>B134*B135</f>
        <v>168000000</v>
      </c>
    </row>
    <row r="138" spans="1:2" x14ac:dyDescent="0.2">
      <c r="A138" s="5" t="s">
        <v>39</v>
      </c>
      <c r="B138" s="5" t="s">
        <v>49</v>
      </c>
    </row>
    <row r="139" spans="1:2" ht="17.25" x14ac:dyDescent="0.3">
      <c r="A139" s="6" t="s">
        <v>40</v>
      </c>
      <c r="B139" s="6">
        <v>0.5</v>
      </c>
    </row>
    <row r="140" spans="1:2" ht="17.25" x14ac:dyDescent="0.3">
      <c r="A140" s="6" t="s">
        <v>41</v>
      </c>
      <c r="B140" s="6">
        <v>0.6</v>
      </c>
    </row>
    <row r="141" spans="1:2" ht="17.25" x14ac:dyDescent="0.3">
      <c r="A141" s="6" t="s">
        <v>42</v>
      </c>
      <c r="B141" s="6">
        <v>0.3</v>
      </c>
    </row>
    <row r="142" spans="1:2" ht="17.25" x14ac:dyDescent="0.3">
      <c r="A142" s="6" t="s">
        <v>43</v>
      </c>
      <c r="B142" s="6">
        <v>0.2</v>
      </c>
    </row>
    <row r="143" spans="1:2" ht="17.25" x14ac:dyDescent="0.3">
      <c r="A143" s="6" t="s">
        <v>44</v>
      </c>
      <c r="B143" s="6">
        <v>0.3</v>
      </c>
    </row>
    <row r="144" spans="1:2" ht="17.25" x14ac:dyDescent="0.3">
      <c r="A144" s="6" t="s">
        <v>45</v>
      </c>
      <c r="B144" s="6">
        <v>0.2</v>
      </c>
    </row>
    <row r="145" spans="1:5" ht="17.25" x14ac:dyDescent="0.3">
      <c r="A145" s="6" t="s">
        <v>46</v>
      </c>
      <c r="B145" s="6">
        <v>0.1</v>
      </c>
    </row>
    <row r="146" spans="1:5" ht="17.25" x14ac:dyDescent="0.3">
      <c r="A146" s="6" t="s">
        <v>47</v>
      </c>
      <c r="B146" s="6">
        <v>1</v>
      </c>
    </row>
    <row r="147" spans="1:5" ht="17.25" x14ac:dyDescent="0.3">
      <c r="A147" s="6" t="s">
        <v>48</v>
      </c>
      <c r="B147" s="15">
        <v>1.3</v>
      </c>
    </row>
    <row r="148" spans="1:5" x14ac:dyDescent="0.2">
      <c r="A148" s="6" t="s">
        <v>0</v>
      </c>
      <c r="B148" s="6">
        <f>1+B$144</f>
        <v>1.2</v>
      </c>
    </row>
    <row r="149" spans="1:5" x14ac:dyDescent="0.2">
      <c r="A149" s="6" t="s">
        <v>1</v>
      </c>
      <c r="B149" s="6">
        <f>(1+B$140)*B$146+B$139+B$142+B$141+B$143+B$144+B$145</f>
        <v>3.2</v>
      </c>
    </row>
    <row r="150" spans="1:5" x14ac:dyDescent="0.2">
      <c r="A150" s="6" t="s">
        <v>2</v>
      </c>
      <c r="B150" s="6">
        <f>(1+B$140)*B$146+B$139+B$142+B$141+B$143+B$144+B$145</f>
        <v>3.2</v>
      </c>
    </row>
    <row r="151" spans="1:5" x14ac:dyDescent="0.2">
      <c r="A151" s="6" t="s">
        <v>3</v>
      </c>
      <c r="B151" s="6">
        <f>(1+B$140)*B$146+B$139+B$142+B$141+B$143+B$144+B$145</f>
        <v>3.2</v>
      </c>
    </row>
    <row r="152" spans="1:5" x14ac:dyDescent="0.2">
      <c r="A152" s="6" t="s">
        <v>23</v>
      </c>
      <c r="B152" s="6">
        <f>(1+B$140)*B$146+B$139+B$142+B$141+B$143+B$144+B$145</f>
        <v>3.2</v>
      </c>
    </row>
    <row r="153" spans="1:5" x14ac:dyDescent="0.2">
      <c r="A153" s="6" t="s">
        <v>4</v>
      </c>
      <c r="B153" s="6">
        <f>(1+B$140)*B$146+B$139+B$142+B$141+B$143+B$144+B$145</f>
        <v>3.2</v>
      </c>
    </row>
    <row r="154" spans="1:5" x14ac:dyDescent="0.2">
      <c r="A154" s="6" t="s">
        <v>5</v>
      </c>
      <c r="B154" s="6">
        <f>(1+B$140)*B$147+B$139+B$142+B$141+B$143+B$144+B$145</f>
        <v>3.68</v>
      </c>
      <c r="E154" s="13"/>
    </row>
    <row r="155" spans="1:5" x14ac:dyDescent="0.2">
      <c r="A155" s="6" t="s">
        <v>6</v>
      </c>
      <c r="B155" s="6">
        <f>(1+B$140)*B$147+B$139+B$142+B$141+B$143+B$144+B$145</f>
        <v>3.68</v>
      </c>
    </row>
    <row r="156" spans="1:5" x14ac:dyDescent="0.2">
      <c r="A156" s="6" t="s">
        <v>7</v>
      </c>
      <c r="B156" s="6">
        <f>(1+B$140)*B$147+B$139+B$142+B$141+B$143+B$144+B$145</f>
        <v>3.68</v>
      </c>
    </row>
    <row r="157" spans="1:5" x14ac:dyDescent="0.2">
      <c r="A157" s="6" t="s">
        <v>8</v>
      </c>
      <c r="B157" s="6">
        <f>(1+B$140)*B$147+B$139+B$142+B$141+B$143+B$144+B$145</f>
        <v>3.68</v>
      </c>
    </row>
    <row r="158" spans="1:5" x14ac:dyDescent="0.2">
      <c r="A158" s="6" t="s">
        <v>9</v>
      </c>
      <c r="B158" s="6">
        <f>(1+B$140)*B$147+B$139+B$142+B$141+B$143+B$144+B$145</f>
        <v>3.68</v>
      </c>
    </row>
    <row r="159" spans="1:5" x14ac:dyDescent="0.2">
      <c r="A159" s="6" t="s">
        <v>10</v>
      </c>
      <c r="B159" s="6">
        <f>(1+B$140)*B$147+B$139+B$142+B$141+B$143+B$144+B$145</f>
        <v>3.68</v>
      </c>
    </row>
    <row r="160" spans="1:5" x14ac:dyDescent="0.2">
      <c r="A160" s="6" t="s">
        <v>11</v>
      </c>
      <c r="B160" s="6">
        <f>(1+B$140)*B$146+B$139+B$142+B$141+B$143+B$144+B$145</f>
        <v>3.2</v>
      </c>
    </row>
    <row r="161" spans="1:2" x14ac:dyDescent="0.2">
      <c r="A161" s="6" t="s">
        <v>12</v>
      </c>
      <c r="B161" s="6">
        <f>(1+B$140)*B$146+B$139+B$142+B$141+B$143+B$144+B$145</f>
        <v>3.2</v>
      </c>
    </row>
    <row r="162" spans="1:2" x14ac:dyDescent="0.2">
      <c r="A162" s="6" t="s">
        <v>13</v>
      </c>
      <c r="B162" s="6">
        <f>(1+B$140)*B$146+B$139+B$142+B$141+B$143+B$144+B$145</f>
        <v>3.2</v>
      </c>
    </row>
    <row r="163" spans="1:2" x14ac:dyDescent="0.2">
      <c r="A163" s="6" t="s">
        <v>14</v>
      </c>
      <c r="B163" s="6">
        <f>(1+B$140)*B$147+B$139+B$142+B$141+B$143+B$144+B$145</f>
        <v>3.68</v>
      </c>
    </row>
    <row r="164" spans="1:2" x14ac:dyDescent="0.2">
      <c r="A164" s="6" t="s">
        <v>33</v>
      </c>
      <c r="B164" s="6">
        <v>1</v>
      </c>
    </row>
    <row r="165" spans="1:2" x14ac:dyDescent="0.2">
      <c r="A165" s="6" t="s">
        <v>35</v>
      </c>
      <c r="B165" s="6">
        <v>1</v>
      </c>
    </row>
    <row r="166" spans="1:2" x14ac:dyDescent="0.2">
      <c r="A166" s="78" t="s">
        <v>137</v>
      </c>
      <c r="B166" s="78">
        <v>1</v>
      </c>
    </row>
    <row r="167" spans="1:2" x14ac:dyDescent="0.2">
      <c r="A167" s="78"/>
      <c r="B167" s="78"/>
    </row>
    <row r="168" spans="1:2" x14ac:dyDescent="0.2">
      <c r="A168" t="s">
        <v>50</v>
      </c>
      <c r="B168" t="s">
        <v>49</v>
      </c>
    </row>
    <row r="169" spans="1:2" x14ac:dyDescent="0.2">
      <c r="A169" t="s">
        <v>0</v>
      </c>
      <c r="B169" s="3">
        <f>B$8*B148</f>
        <v>40569164.468091041</v>
      </c>
    </row>
    <row r="170" spans="1:2" x14ac:dyDescent="0.2">
      <c r="A170" t="s">
        <v>1</v>
      </c>
      <c r="B170" s="3">
        <f>B$16*B149</f>
        <v>3046340.1556285638</v>
      </c>
    </row>
    <row r="171" spans="1:2" x14ac:dyDescent="0.2">
      <c r="A171" t="s">
        <v>2</v>
      </c>
      <c r="B171" s="3">
        <f>B$24*B150</f>
        <v>0</v>
      </c>
    </row>
    <row r="172" spans="1:2" x14ac:dyDescent="0.2">
      <c r="A172" t="s">
        <v>3</v>
      </c>
      <c r="B172" s="3">
        <f>B$32*B151</f>
        <v>8003254.3150858628</v>
      </c>
    </row>
    <row r="173" spans="1:2" x14ac:dyDescent="0.2">
      <c r="A173" t="s">
        <v>23</v>
      </c>
      <c r="B173" s="3">
        <f>B$40*B152</f>
        <v>0</v>
      </c>
    </row>
    <row r="174" spans="1:2" x14ac:dyDescent="0.2">
      <c r="A174" t="s">
        <v>4</v>
      </c>
      <c r="B174" s="3">
        <f>B$51*B153</f>
        <v>8134619.4256903501</v>
      </c>
    </row>
    <row r="175" spans="1:2" x14ac:dyDescent="0.2">
      <c r="A175" t="s">
        <v>5</v>
      </c>
      <c r="B175" s="3">
        <f>B$59*B154</f>
        <v>293161.30756618304</v>
      </c>
    </row>
    <row r="176" spans="1:2" x14ac:dyDescent="0.2">
      <c r="A176" t="s">
        <v>6</v>
      </c>
      <c r="B176" s="3">
        <f>B$67*B155</f>
        <v>240327.31840943996</v>
      </c>
    </row>
    <row r="177" spans="1:2" x14ac:dyDescent="0.2">
      <c r="A177" t="s">
        <v>7</v>
      </c>
      <c r="B177" s="3">
        <f>B$75*B156</f>
        <v>173294.44280113396</v>
      </c>
    </row>
    <row r="178" spans="1:2" x14ac:dyDescent="0.2">
      <c r="A178" t="s">
        <v>8</v>
      </c>
      <c r="B178" s="3">
        <f>B$81*B157</f>
        <v>9760740.6632946618</v>
      </c>
    </row>
    <row r="179" spans="1:2" x14ac:dyDescent="0.2">
      <c r="A179" t="s">
        <v>9</v>
      </c>
      <c r="B179" s="3">
        <f>B$87*B158</f>
        <v>9760740.6632946618</v>
      </c>
    </row>
    <row r="180" spans="1:2" x14ac:dyDescent="0.2">
      <c r="A180" t="s">
        <v>10</v>
      </c>
      <c r="B180" s="3">
        <f>B$93*B159</f>
        <v>52544.213997102655</v>
      </c>
    </row>
    <row r="181" spans="1:2" x14ac:dyDescent="0.2">
      <c r="A181" t="s">
        <v>11</v>
      </c>
      <c r="B181" s="3">
        <f>B$99*B160</f>
        <v>46604.221860418947</v>
      </c>
    </row>
    <row r="182" spans="1:2" x14ac:dyDescent="0.2">
      <c r="A182" t="s">
        <v>12</v>
      </c>
      <c r="B182" s="3">
        <f>B$105*B161</f>
        <v>0</v>
      </c>
    </row>
    <row r="183" spans="1:2" x14ac:dyDescent="0.2">
      <c r="A183" t="s">
        <v>13</v>
      </c>
      <c r="B183" s="3">
        <f>B$111*B162</f>
        <v>0</v>
      </c>
    </row>
    <row r="184" spans="1:2" x14ac:dyDescent="0.2">
      <c r="A184" t="s">
        <v>14</v>
      </c>
      <c r="B184" s="3">
        <f>B$117*B163</f>
        <v>1878649.184499305</v>
      </c>
    </row>
    <row r="185" spans="1:2" x14ac:dyDescent="0.2">
      <c r="A185" t="s">
        <v>33</v>
      </c>
      <c r="B185" s="3">
        <f>B$124*B164</f>
        <v>5896392.3509507654</v>
      </c>
    </row>
    <row r="186" spans="1:2" x14ac:dyDescent="0.2">
      <c r="A186" s="21" t="s">
        <v>137</v>
      </c>
      <c r="B186" s="22">
        <f>B136*B165/5.8</f>
        <v>28965517.241379309</v>
      </c>
    </row>
    <row r="187" spans="1:2" x14ac:dyDescent="0.2">
      <c r="A187" s="21" t="s">
        <v>78</v>
      </c>
      <c r="B187" s="24">
        <v>0.4</v>
      </c>
    </row>
    <row r="188" spans="1:2" x14ac:dyDescent="0.2">
      <c r="A188" s="21" t="s">
        <v>79</v>
      </c>
      <c r="B188" s="24">
        <v>0.25</v>
      </c>
    </row>
    <row r="189" spans="1:2" x14ac:dyDescent="0.2">
      <c r="A189" s="21" t="s">
        <v>80</v>
      </c>
      <c r="B189" s="24">
        <v>0.1</v>
      </c>
    </row>
    <row r="190" spans="1:2" x14ac:dyDescent="0.2">
      <c r="A190" s="21" t="s">
        <v>87</v>
      </c>
      <c r="B190" s="22">
        <f>SUM(B169:B186)*(1+B187)*(1+B188+B189)</f>
        <v>220792351.44811723</v>
      </c>
    </row>
    <row r="191" spans="1:2" x14ac:dyDescent="0.2">
      <c r="A191" s="21"/>
      <c r="B191" s="23">
        <f>B190*5.8</f>
        <v>1280595638.3990798</v>
      </c>
    </row>
    <row r="192" spans="1:2" x14ac:dyDescent="0.2">
      <c r="A192" s="21" t="s">
        <v>91</v>
      </c>
      <c r="B192" s="22">
        <f>B190+B131*(1+B187)*(1+B188+B189)</f>
        <v>482560589.57436216</v>
      </c>
    </row>
    <row r="193" spans="1:2" x14ac:dyDescent="0.2">
      <c r="A193" s="21"/>
      <c r="B193" s="23">
        <f>B192*5.8</f>
        <v>2798851419.5313005</v>
      </c>
    </row>
    <row r="220" spans="1:2" ht="25.5" x14ac:dyDescent="0.35">
      <c r="A220" s="86" t="s">
        <v>38</v>
      </c>
      <c r="B220" s="86"/>
    </row>
    <row r="221" spans="1:2" x14ac:dyDescent="0.2">
      <c r="A221" s="19" t="s">
        <v>51</v>
      </c>
      <c r="B221" s="19" t="s">
        <v>49</v>
      </c>
    </row>
    <row r="222" spans="1:2" x14ac:dyDescent="0.2">
      <c r="A222" s="7" t="s">
        <v>52</v>
      </c>
      <c r="B222" s="16">
        <v>18</v>
      </c>
    </row>
    <row r="223" spans="1:2" x14ac:dyDescent="0.2">
      <c r="A223" s="6" t="s">
        <v>53</v>
      </c>
      <c r="B223" s="17">
        <f>ROUNDUP(SQRT(6.29+0.23*B222),0)</f>
        <v>4</v>
      </c>
    </row>
    <row r="224" spans="1:2" x14ac:dyDescent="0.2">
      <c r="A224" s="7" t="s">
        <v>54</v>
      </c>
      <c r="B224" s="16">
        <v>6</v>
      </c>
    </row>
    <row r="225" spans="1:2" x14ac:dyDescent="0.2">
      <c r="A225" s="6" t="s">
        <v>55</v>
      </c>
      <c r="B225" s="15">
        <f>B223*B224</f>
        <v>24</v>
      </c>
    </row>
    <row r="226" spans="1:2" x14ac:dyDescent="0.2">
      <c r="A226" s="7" t="s">
        <v>56</v>
      </c>
      <c r="B226" s="18">
        <v>433000</v>
      </c>
    </row>
    <row r="227" spans="1:2" x14ac:dyDescent="0.2">
      <c r="A227" s="6" t="s">
        <v>57</v>
      </c>
      <c r="B227" s="20">
        <f>B226*B225</f>
        <v>10392000</v>
      </c>
    </row>
    <row r="229" spans="1:2" x14ac:dyDescent="0.2">
      <c r="A229" s="6" t="s">
        <v>58</v>
      </c>
      <c r="B229" s="6" t="s">
        <v>49</v>
      </c>
    </row>
    <row r="230" spans="1:2" x14ac:dyDescent="0.2">
      <c r="A230" s="2" t="s">
        <v>81</v>
      </c>
      <c r="B230" s="6">
        <v>390417</v>
      </c>
    </row>
    <row r="231" spans="1:2" x14ac:dyDescent="0.2">
      <c r="A231" s="2" t="s">
        <v>82</v>
      </c>
      <c r="B231" s="6">
        <v>530287</v>
      </c>
    </row>
    <row r="232" spans="1:2" x14ac:dyDescent="0.2">
      <c r="A232" s="2" t="s">
        <v>83</v>
      </c>
      <c r="B232" s="6">
        <v>72907</v>
      </c>
    </row>
    <row r="233" spans="1:2" x14ac:dyDescent="0.2">
      <c r="A233" s="2" t="s">
        <v>84</v>
      </c>
      <c r="B233" s="6">
        <v>236728</v>
      </c>
    </row>
    <row r="234" spans="1:2" x14ac:dyDescent="0.2">
      <c r="A234" s="2" t="s">
        <v>85</v>
      </c>
      <c r="B234" s="6">
        <f>AVERAGE(B230:B233)</f>
        <v>307584.75</v>
      </c>
    </row>
    <row r="235" spans="1:2" x14ac:dyDescent="0.2">
      <c r="A235" s="6" t="s">
        <v>59</v>
      </c>
      <c r="B235" s="14">
        <v>12</v>
      </c>
    </row>
    <row r="236" spans="1:2" x14ac:dyDescent="0.2">
      <c r="A236" s="6" t="s">
        <v>60</v>
      </c>
      <c r="B236" s="20">
        <f>B234*B235</f>
        <v>3691017</v>
      </c>
    </row>
    <row r="238" spans="1:2" x14ac:dyDescent="0.2">
      <c r="A238" s="6" t="s">
        <v>63</v>
      </c>
      <c r="B238" s="6" t="s">
        <v>49</v>
      </c>
    </row>
    <row r="239" spans="1:2" x14ac:dyDescent="0.2">
      <c r="A239" s="6" t="s">
        <v>61</v>
      </c>
      <c r="B239" s="6">
        <v>65.5</v>
      </c>
    </row>
    <row r="240" spans="1:2" x14ac:dyDescent="0.2">
      <c r="A240" s="6" t="s">
        <v>62</v>
      </c>
      <c r="B240" s="6">
        <f>B239/0.9072</f>
        <v>72.200176366843039</v>
      </c>
    </row>
    <row r="241" spans="1:2" x14ac:dyDescent="0.2">
      <c r="A241" s="6" t="s">
        <v>64</v>
      </c>
      <c r="B241" s="6">
        <v>60000</v>
      </c>
    </row>
    <row r="242" spans="1:2" x14ac:dyDescent="0.2">
      <c r="A242" s="6" t="s">
        <v>65</v>
      </c>
      <c r="B242" s="4">
        <f>B241*B240</f>
        <v>4332010.5820105821</v>
      </c>
    </row>
    <row r="243" spans="1:2" x14ac:dyDescent="0.2">
      <c r="A243" s="6" t="s">
        <v>65</v>
      </c>
      <c r="B243" s="20">
        <f>B242*5.8</f>
        <v>25125661.375661377</v>
      </c>
    </row>
    <row r="245" spans="1:2" x14ac:dyDescent="0.2">
      <c r="A245" t="s">
        <v>74</v>
      </c>
      <c r="B245" t="s">
        <v>49</v>
      </c>
    </row>
    <row r="246" spans="1:2" x14ac:dyDescent="0.2">
      <c r="A246" t="s">
        <v>75</v>
      </c>
      <c r="B246">
        <v>71</v>
      </c>
    </row>
    <row r="247" spans="1:2" x14ac:dyDescent="0.2">
      <c r="A247" t="s">
        <v>29</v>
      </c>
      <c r="B247">
        <f>13.4215471437719*1000</f>
        <v>13421.547143771899</v>
      </c>
    </row>
    <row r="248" spans="1:2" x14ac:dyDescent="0.2">
      <c r="A248" t="s">
        <v>76</v>
      </c>
      <c r="B248" s="3">
        <f>B246*B247</f>
        <v>952929.84720780479</v>
      </c>
    </row>
    <row r="249" spans="1:2" x14ac:dyDescent="0.2">
      <c r="A249" t="s">
        <v>77</v>
      </c>
      <c r="B249" s="25">
        <f>B248*5.8</f>
        <v>5526993.113805268</v>
      </c>
    </row>
    <row r="250" spans="1:2" x14ac:dyDescent="0.2">
      <c r="B250" s="14"/>
    </row>
    <row r="251" spans="1:2" x14ac:dyDescent="0.2">
      <c r="A251" s="5" t="s">
        <v>92</v>
      </c>
      <c r="B251" t="s">
        <v>49</v>
      </c>
    </row>
    <row r="252" spans="1:2" x14ac:dyDescent="0.2">
      <c r="A252" t="s">
        <v>93</v>
      </c>
      <c r="B252" s="27">
        <v>3.5899999999999999E-3</v>
      </c>
    </row>
    <row r="253" spans="1:2" x14ac:dyDescent="0.2">
      <c r="A253" t="s">
        <v>29</v>
      </c>
      <c r="B253" s="28">
        <f>13.4215471437719*1000</f>
        <v>13421.547143771899</v>
      </c>
    </row>
    <row r="254" spans="1:2" x14ac:dyDescent="0.2">
      <c r="A254" s="21" t="s">
        <v>94</v>
      </c>
      <c r="B254" s="21">
        <f>B253*24*365</f>
        <v>117572752.97944185</v>
      </c>
    </row>
    <row r="255" spans="1:2" x14ac:dyDescent="0.2">
      <c r="A255" t="s">
        <v>76</v>
      </c>
      <c r="B255" s="3">
        <f>B252*B254</f>
        <v>422086.18319619622</v>
      </c>
    </row>
    <row r="256" spans="1:2" x14ac:dyDescent="0.2">
      <c r="A256" t="s">
        <v>77</v>
      </c>
      <c r="B256" s="25">
        <f>B255*5.8</f>
        <v>2448099.8625379382</v>
      </c>
    </row>
    <row r="258" spans="1:7" x14ac:dyDescent="0.2">
      <c r="A258" s="2" t="s">
        <v>142</v>
      </c>
      <c r="B258" s="2" t="s">
        <v>49</v>
      </c>
    </row>
    <row r="259" spans="1:7" x14ac:dyDescent="0.2">
      <c r="A259" s="2" t="s">
        <v>143</v>
      </c>
      <c r="B259" s="14">
        <f>B227+B236+B243+B249+B256</f>
        <v>47183771.352004573</v>
      </c>
    </row>
    <row r="270" spans="1:7" ht="25.5" x14ac:dyDescent="0.35">
      <c r="A270" s="86" t="s">
        <v>66</v>
      </c>
      <c r="B270" s="86"/>
    </row>
    <row r="271" spans="1:7" x14ac:dyDescent="0.2">
      <c r="A271" s="6" t="s">
        <v>49</v>
      </c>
      <c r="B271" s="2" t="s">
        <v>86</v>
      </c>
    </row>
    <row r="272" spans="1:7" x14ac:dyDescent="0.2">
      <c r="A272" s="6" t="s">
        <v>67</v>
      </c>
      <c r="B272" s="14">
        <v>1</v>
      </c>
      <c r="G272" s="2"/>
    </row>
    <row r="273" spans="1:2" x14ac:dyDescent="0.2">
      <c r="A273" s="6" t="s">
        <v>68</v>
      </c>
      <c r="B273" s="14">
        <f>B272/2</f>
        <v>0.5</v>
      </c>
    </row>
    <row r="274" spans="1:2" x14ac:dyDescent="0.2">
      <c r="A274" s="6" t="s">
        <v>69</v>
      </c>
      <c r="B274" s="80">
        <f>13.4032196562745*1000*365*24</f>
        <v>117412204.18896461</v>
      </c>
    </row>
    <row r="275" spans="1:2" x14ac:dyDescent="0.2">
      <c r="A275" s="6" t="s">
        <v>70</v>
      </c>
      <c r="B275" s="6">
        <f>12000*24*365</f>
        <v>105120000</v>
      </c>
    </row>
    <row r="276" spans="1:2" x14ac:dyDescent="0.2">
      <c r="A276" s="81" t="s">
        <v>138</v>
      </c>
      <c r="B276" s="81">
        <v>3</v>
      </c>
    </row>
    <row r="277" spans="1:2" x14ac:dyDescent="0.2">
      <c r="A277" s="81" t="s">
        <v>139</v>
      </c>
      <c r="B277" s="81">
        <f>B275/B276</f>
        <v>35040000</v>
      </c>
    </row>
    <row r="278" spans="1:2" x14ac:dyDescent="0.2">
      <c r="A278" s="81" t="s">
        <v>140</v>
      </c>
      <c r="B278" s="82">
        <f>B274-B277</f>
        <v>82372204.188964605</v>
      </c>
    </row>
    <row r="279" spans="1:2" x14ac:dyDescent="0.2">
      <c r="A279" s="6" t="s">
        <v>71</v>
      </c>
      <c r="B279" s="14">
        <f>B272*B278</f>
        <v>82372204.188964605</v>
      </c>
    </row>
    <row r="280" spans="1:2" x14ac:dyDescent="0.2">
      <c r="A280" s="6" t="s">
        <v>72</v>
      </c>
      <c r="B280" s="14">
        <f>B275*B273</f>
        <v>52560000</v>
      </c>
    </row>
    <row r="281" spans="1:2" x14ac:dyDescent="0.2">
      <c r="A281" s="5" t="s">
        <v>73</v>
      </c>
      <c r="B281" s="20">
        <f>B279+B280</f>
        <v>134932204.18896461</v>
      </c>
    </row>
    <row r="284" spans="1:2" ht="25.5" x14ac:dyDescent="0.35">
      <c r="A284" s="86" t="s">
        <v>127</v>
      </c>
      <c r="B284" s="86"/>
    </row>
    <row r="285" spans="1:2" x14ac:dyDescent="0.2">
      <c r="A285" s="2" t="s">
        <v>127</v>
      </c>
      <c r="B285" s="2" t="s">
        <v>86</v>
      </c>
    </row>
    <row r="286" spans="1:2" x14ac:dyDescent="0.2">
      <c r="A286" s="2" t="s">
        <v>128</v>
      </c>
      <c r="B286" s="14">
        <f>B240*(B241/365*60) + B256/365*60</f>
        <v>1114538.7032134554</v>
      </c>
    </row>
    <row r="287" spans="1:2" x14ac:dyDescent="0.2">
      <c r="A287" s="2" t="s">
        <v>141</v>
      </c>
      <c r="B287" s="14">
        <f>B193*0.02</f>
        <v>55977028.390626013</v>
      </c>
    </row>
    <row r="288" spans="1:2" x14ac:dyDescent="0.2">
      <c r="A288" s="5" t="s">
        <v>129</v>
      </c>
      <c r="B288" s="20">
        <f>B286+B287</f>
        <v>57091567.093839467</v>
      </c>
    </row>
  </sheetData>
  <mergeCells count="4">
    <mergeCell ref="A270:B270"/>
    <mergeCell ref="A1:B1"/>
    <mergeCell ref="A220:B220"/>
    <mergeCell ref="A284:B284"/>
  </mergeCells>
  <pageMargins left="0.7" right="0.7" top="0.75" bottom="0.75" header="0.3" footer="0.3"/>
  <pageSetup paperSize="9" scale="95" orientation="portrait" r:id="rId1"/>
  <rowBreaks count="2" manualBreakCount="2">
    <brk id="52" max="16383" man="1"/>
    <brk id="106" max="16383" man="1"/>
  </rowBreaks>
  <tableParts count="29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41"/>
  <sheetViews>
    <sheetView tabSelected="1" topLeftCell="AG1" zoomScaleNormal="100" workbookViewId="0">
      <selection activeCell="E26" sqref="E26:BD26"/>
    </sheetView>
  </sheetViews>
  <sheetFormatPr defaultRowHeight="14.25" x14ac:dyDescent="0.2"/>
  <cols>
    <col min="1" max="1" width="33.75" customWidth="1"/>
    <col min="2" max="2" width="11.5" bestFit="1" customWidth="1"/>
    <col min="3" max="3" width="6" bestFit="1" customWidth="1"/>
    <col min="4" max="4" width="12.25" bestFit="1" customWidth="1"/>
    <col min="5" max="5" width="2.5" bestFit="1" customWidth="1"/>
    <col min="6" max="6" width="15.875" customWidth="1"/>
    <col min="7" max="7" width="14" bestFit="1" customWidth="1"/>
    <col min="8" max="8" width="14" customWidth="1"/>
    <col min="9" max="9" width="14.375" customWidth="1"/>
    <col min="10" max="10" width="15.125" customWidth="1"/>
    <col min="11" max="11" width="14.25" customWidth="1"/>
    <col min="12" max="12" width="14.125" customWidth="1"/>
    <col min="13" max="13" width="14.5" customWidth="1"/>
    <col min="14" max="14" width="14.75" customWidth="1"/>
    <col min="15" max="15" width="15.25" customWidth="1"/>
    <col min="16" max="16" width="14.5" customWidth="1"/>
    <col min="17" max="17" width="17.375" customWidth="1"/>
    <col min="18" max="18" width="14" bestFit="1" customWidth="1"/>
    <col min="26" max="26" width="13" bestFit="1" customWidth="1"/>
    <col min="27" max="27" width="13" customWidth="1"/>
    <col min="36" max="36" width="12.25" bestFit="1" customWidth="1"/>
    <col min="46" max="46" width="13.375" bestFit="1" customWidth="1"/>
    <col min="48" max="48" width="10.625" customWidth="1"/>
    <col min="56" max="56" width="13.375" bestFit="1" customWidth="1"/>
    <col min="57" max="57" width="14" bestFit="1" customWidth="1"/>
    <col min="259" max="260" width="11.375" customWidth="1"/>
    <col min="262" max="262" width="9.375" customWidth="1"/>
    <col min="263" max="263" width="9.125" customWidth="1"/>
    <col min="264" max="264" width="11.5" customWidth="1"/>
    <col min="265" max="265" width="9" customWidth="1"/>
    <col min="515" max="516" width="11.375" customWidth="1"/>
    <col min="518" max="518" width="9.375" customWidth="1"/>
    <col min="519" max="519" width="9.125" customWidth="1"/>
    <col min="520" max="520" width="11.5" customWidth="1"/>
    <col min="521" max="521" width="9" customWidth="1"/>
    <col min="771" max="772" width="11.375" customWidth="1"/>
    <col min="774" max="774" width="9.375" customWidth="1"/>
    <col min="775" max="775" width="9.125" customWidth="1"/>
    <col min="776" max="776" width="11.5" customWidth="1"/>
    <col min="777" max="777" width="9" customWidth="1"/>
    <col min="1027" max="1028" width="11.375" customWidth="1"/>
    <col min="1030" max="1030" width="9.375" customWidth="1"/>
    <col min="1031" max="1031" width="9.125" customWidth="1"/>
    <col min="1032" max="1032" width="11.5" customWidth="1"/>
    <col min="1033" max="1033" width="9" customWidth="1"/>
    <col min="1283" max="1284" width="11.375" customWidth="1"/>
    <col min="1286" max="1286" width="9.375" customWidth="1"/>
    <col min="1287" max="1287" width="9.125" customWidth="1"/>
    <col min="1288" max="1288" width="11.5" customWidth="1"/>
    <col min="1289" max="1289" width="9" customWidth="1"/>
    <col min="1539" max="1540" width="11.375" customWidth="1"/>
    <col min="1542" max="1542" width="9.375" customWidth="1"/>
    <col min="1543" max="1543" width="9.125" customWidth="1"/>
    <col min="1544" max="1544" width="11.5" customWidth="1"/>
    <col min="1545" max="1545" width="9" customWidth="1"/>
    <col min="1795" max="1796" width="11.375" customWidth="1"/>
    <col min="1798" max="1798" width="9.375" customWidth="1"/>
    <col min="1799" max="1799" width="9.125" customWidth="1"/>
    <col min="1800" max="1800" width="11.5" customWidth="1"/>
    <col min="1801" max="1801" width="9" customWidth="1"/>
    <col min="2051" max="2052" width="11.375" customWidth="1"/>
    <col min="2054" max="2054" width="9.375" customWidth="1"/>
    <col min="2055" max="2055" width="9.125" customWidth="1"/>
    <col min="2056" max="2056" width="11.5" customWidth="1"/>
    <col min="2057" max="2057" width="9" customWidth="1"/>
    <col min="2307" max="2308" width="11.375" customWidth="1"/>
    <col min="2310" max="2310" width="9.375" customWidth="1"/>
    <col min="2311" max="2311" width="9.125" customWidth="1"/>
    <col min="2312" max="2312" width="11.5" customWidth="1"/>
    <col min="2313" max="2313" width="9" customWidth="1"/>
    <col min="2563" max="2564" width="11.375" customWidth="1"/>
    <col min="2566" max="2566" width="9.375" customWidth="1"/>
    <col min="2567" max="2567" width="9.125" customWidth="1"/>
    <col min="2568" max="2568" width="11.5" customWidth="1"/>
    <col min="2569" max="2569" width="9" customWidth="1"/>
    <col min="2819" max="2820" width="11.375" customWidth="1"/>
    <col min="2822" max="2822" width="9.375" customWidth="1"/>
    <col min="2823" max="2823" width="9.125" customWidth="1"/>
    <col min="2824" max="2824" width="11.5" customWidth="1"/>
    <col min="2825" max="2825" width="9" customWidth="1"/>
    <col min="3075" max="3076" width="11.375" customWidth="1"/>
    <col min="3078" max="3078" width="9.375" customWidth="1"/>
    <col min="3079" max="3079" width="9.125" customWidth="1"/>
    <col min="3080" max="3080" width="11.5" customWidth="1"/>
    <col min="3081" max="3081" width="9" customWidth="1"/>
    <col min="3331" max="3332" width="11.375" customWidth="1"/>
    <col min="3334" max="3334" width="9.375" customWidth="1"/>
    <col min="3335" max="3335" width="9.125" customWidth="1"/>
    <col min="3336" max="3336" width="11.5" customWidth="1"/>
    <col min="3337" max="3337" width="9" customWidth="1"/>
    <col min="3587" max="3588" width="11.375" customWidth="1"/>
    <col min="3590" max="3590" width="9.375" customWidth="1"/>
    <col min="3591" max="3591" width="9.125" customWidth="1"/>
    <col min="3592" max="3592" width="11.5" customWidth="1"/>
    <col min="3593" max="3593" width="9" customWidth="1"/>
    <col min="3843" max="3844" width="11.375" customWidth="1"/>
    <col min="3846" max="3846" width="9.375" customWidth="1"/>
    <col min="3847" max="3847" width="9.125" customWidth="1"/>
    <col min="3848" max="3848" width="11.5" customWidth="1"/>
    <col min="3849" max="3849" width="9" customWidth="1"/>
    <col min="4099" max="4100" width="11.375" customWidth="1"/>
    <col min="4102" max="4102" width="9.375" customWidth="1"/>
    <col min="4103" max="4103" width="9.125" customWidth="1"/>
    <col min="4104" max="4104" width="11.5" customWidth="1"/>
    <col min="4105" max="4105" width="9" customWidth="1"/>
    <col min="4355" max="4356" width="11.375" customWidth="1"/>
    <col min="4358" max="4358" width="9.375" customWidth="1"/>
    <col min="4359" max="4359" width="9.125" customWidth="1"/>
    <col min="4360" max="4360" width="11.5" customWidth="1"/>
    <col min="4361" max="4361" width="9" customWidth="1"/>
    <col min="4611" max="4612" width="11.375" customWidth="1"/>
    <col min="4614" max="4614" width="9.375" customWidth="1"/>
    <col min="4615" max="4615" width="9.125" customWidth="1"/>
    <col min="4616" max="4616" width="11.5" customWidth="1"/>
    <col min="4617" max="4617" width="9" customWidth="1"/>
    <col min="4867" max="4868" width="11.375" customWidth="1"/>
    <col min="4870" max="4870" width="9.375" customWidth="1"/>
    <col min="4871" max="4871" width="9.125" customWidth="1"/>
    <col min="4872" max="4872" width="11.5" customWidth="1"/>
    <col min="4873" max="4873" width="9" customWidth="1"/>
    <col min="5123" max="5124" width="11.375" customWidth="1"/>
    <col min="5126" max="5126" width="9.375" customWidth="1"/>
    <col min="5127" max="5127" width="9.125" customWidth="1"/>
    <col min="5128" max="5128" width="11.5" customWidth="1"/>
    <col min="5129" max="5129" width="9" customWidth="1"/>
    <col min="5379" max="5380" width="11.375" customWidth="1"/>
    <col min="5382" max="5382" width="9.375" customWidth="1"/>
    <col min="5383" max="5383" width="9.125" customWidth="1"/>
    <col min="5384" max="5384" width="11.5" customWidth="1"/>
    <col min="5385" max="5385" width="9" customWidth="1"/>
    <col min="5635" max="5636" width="11.375" customWidth="1"/>
    <col min="5638" max="5638" width="9.375" customWidth="1"/>
    <col min="5639" max="5639" width="9.125" customWidth="1"/>
    <col min="5640" max="5640" width="11.5" customWidth="1"/>
    <col min="5641" max="5641" width="9" customWidth="1"/>
    <col min="5891" max="5892" width="11.375" customWidth="1"/>
    <col min="5894" max="5894" width="9.375" customWidth="1"/>
    <col min="5895" max="5895" width="9.125" customWidth="1"/>
    <col min="5896" max="5896" width="11.5" customWidth="1"/>
    <col min="5897" max="5897" width="9" customWidth="1"/>
    <col min="6147" max="6148" width="11.375" customWidth="1"/>
    <col min="6150" max="6150" width="9.375" customWidth="1"/>
    <col min="6151" max="6151" width="9.125" customWidth="1"/>
    <col min="6152" max="6152" width="11.5" customWidth="1"/>
    <col min="6153" max="6153" width="9" customWidth="1"/>
    <col min="6403" max="6404" width="11.375" customWidth="1"/>
    <col min="6406" max="6406" width="9.375" customWidth="1"/>
    <col min="6407" max="6407" width="9.125" customWidth="1"/>
    <col min="6408" max="6408" width="11.5" customWidth="1"/>
    <col min="6409" max="6409" width="9" customWidth="1"/>
    <col min="6659" max="6660" width="11.375" customWidth="1"/>
    <col min="6662" max="6662" width="9.375" customWidth="1"/>
    <col min="6663" max="6663" width="9.125" customWidth="1"/>
    <col min="6664" max="6664" width="11.5" customWidth="1"/>
    <col min="6665" max="6665" width="9" customWidth="1"/>
    <col min="6915" max="6916" width="11.375" customWidth="1"/>
    <col min="6918" max="6918" width="9.375" customWidth="1"/>
    <col min="6919" max="6919" width="9.125" customWidth="1"/>
    <col min="6920" max="6920" width="11.5" customWidth="1"/>
    <col min="6921" max="6921" width="9" customWidth="1"/>
    <col min="7171" max="7172" width="11.375" customWidth="1"/>
    <col min="7174" max="7174" width="9.375" customWidth="1"/>
    <col min="7175" max="7175" width="9.125" customWidth="1"/>
    <col min="7176" max="7176" width="11.5" customWidth="1"/>
    <col min="7177" max="7177" width="9" customWidth="1"/>
    <col min="7427" max="7428" width="11.375" customWidth="1"/>
    <col min="7430" max="7430" width="9.375" customWidth="1"/>
    <col min="7431" max="7431" width="9.125" customWidth="1"/>
    <col min="7432" max="7432" width="11.5" customWidth="1"/>
    <col min="7433" max="7433" width="9" customWidth="1"/>
    <col min="7683" max="7684" width="11.375" customWidth="1"/>
    <col min="7686" max="7686" width="9.375" customWidth="1"/>
    <col min="7687" max="7687" width="9.125" customWidth="1"/>
    <col min="7688" max="7688" width="11.5" customWidth="1"/>
    <col min="7689" max="7689" width="9" customWidth="1"/>
    <col min="7939" max="7940" width="11.375" customWidth="1"/>
    <col min="7942" max="7942" width="9.375" customWidth="1"/>
    <col min="7943" max="7943" width="9.125" customWidth="1"/>
    <col min="7944" max="7944" width="11.5" customWidth="1"/>
    <col min="7945" max="7945" width="9" customWidth="1"/>
    <col min="8195" max="8196" width="11.375" customWidth="1"/>
    <col min="8198" max="8198" width="9.375" customWidth="1"/>
    <col min="8199" max="8199" width="9.125" customWidth="1"/>
    <col min="8200" max="8200" width="11.5" customWidth="1"/>
    <col min="8201" max="8201" width="9" customWidth="1"/>
    <col min="8451" max="8452" width="11.375" customWidth="1"/>
    <col min="8454" max="8454" width="9.375" customWidth="1"/>
    <col min="8455" max="8455" width="9.125" customWidth="1"/>
    <col min="8456" max="8456" width="11.5" customWidth="1"/>
    <col min="8457" max="8457" width="9" customWidth="1"/>
    <col min="8707" max="8708" width="11.375" customWidth="1"/>
    <col min="8710" max="8710" width="9.375" customWidth="1"/>
    <col min="8711" max="8711" width="9.125" customWidth="1"/>
    <col min="8712" max="8712" width="11.5" customWidth="1"/>
    <col min="8713" max="8713" width="9" customWidth="1"/>
    <col min="8963" max="8964" width="11.375" customWidth="1"/>
    <col min="8966" max="8966" width="9.375" customWidth="1"/>
    <col min="8967" max="8967" width="9.125" customWidth="1"/>
    <col min="8968" max="8968" width="11.5" customWidth="1"/>
    <col min="8969" max="8969" width="9" customWidth="1"/>
    <col min="9219" max="9220" width="11.375" customWidth="1"/>
    <col min="9222" max="9222" width="9.375" customWidth="1"/>
    <col min="9223" max="9223" width="9.125" customWidth="1"/>
    <col min="9224" max="9224" width="11.5" customWidth="1"/>
    <col min="9225" max="9225" width="9" customWidth="1"/>
    <col min="9475" max="9476" width="11.375" customWidth="1"/>
    <col min="9478" max="9478" width="9.375" customWidth="1"/>
    <col min="9479" max="9479" width="9.125" customWidth="1"/>
    <col min="9480" max="9480" width="11.5" customWidth="1"/>
    <col min="9481" max="9481" width="9" customWidth="1"/>
    <col min="9731" max="9732" width="11.375" customWidth="1"/>
    <col min="9734" max="9734" width="9.375" customWidth="1"/>
    <col min="9735" max="9735" width="9.125" customWidth="1"/>
    <col min="9736" max="9736" width="11.5" customWidth="1"/>
    <col min="9737" max="9737" width="9" customWidth="1"/>
    <col min="9987" max="9988" width="11.375" customWidth="1"/>
    <col min="9990" max="9990" width="9.375" customWidth="1"/>
    <col min="9991" max="9991" width="9.125" customWidth="1"/>
    <col min="9992" max="9992" width="11.5" customWidth="1"/>
    <col min="9993" max="9993" width="9" customWidth="1"/>
    <col min="10243" max="10244" width="11.375" customWidth="1"/>
    <col min="10246" max="10246" width="9.375" customWidth="1"/>
    <col min="10247" max="10247" width="9.125" customWidth="1"/>
    <col min="10248" max="10248" width="11.5" customWidth="1"/>
    <col min="10249" max="10249" width="9" customWidth="1"/>
    <col min="10499" max="10500" width="11.375" customWidth="1"/>
    <col min="10502" max="10502" width="9.375" customWidth="1"/>
    <col min="10503" max="10503" width="9.125" customWidth="1"/>
    <col min="10504" max="10504" width="11.5" customWidth="1"/>
    <col min="10505" max="10505" width="9" customWidth="1"/>
    <col min="10755" max="10756" width="11.375" customWidth="1"/>
    <col min="10758" max="10758" width="9.375" customWidth="1"/>
    <col min="10759" max="10759" width="9.125" customWidth="1"/>
    <col min="10760" max="10760" width="11.5" customWidth="1"/>
    <col min="10761" max="10761" width="9" customWidth="1"/>
    <col min="11011" max="11012" width="11.375" customWidth="1"/>
    <col min="11014" max="11014" width="9.375" customWidth="1"/>
    <col min="11015" max="11015" width="9.125" customWidth="1"/>
    <col min="11016" max="11016" width="11.5" customWidth="1"/>
    <col min="11017" max="11017" width="9" customWidth="1"/>
    <col min="11267" max="11268" width="11.375" customWidth="1"/>
    <col min="11270" max="11270" width="9.375" customWidth="1"/>
    <col min="11271" max="11271" width="9.125" customWidth="1"/>
    <col min="11272" max="11272" width="11.5" customWidth="1"/>
    <col min="11273" max="11273" width="9" customWidth="1"/>
    <col min="11523" max="11524" width="11.375" customWidth="1"/>
    <col min="11526" max="11526" width="9.375" customWidth="1"/>
    <col min="11527" max="11527" width="9.125" customWidth="1"/>
    <col min="11528" max="11528" width="11.5" customWidth="1"/>
    <col min="11529" max="11529" width="9" customWidth="1"/>
    <col min="11779" max="11780" width="11.375" customWidth="1"/>
    <col min="11782" max="11782" width="9.375" customWidth="1"/>
    <col min="11783" max="11783" width="9.125" customWidth="1"/>
    <col min="11784" max="11784" width="11.5" customWidth="1"/>
    <col min="11785" max="11785" width="9" customWidth="1"/>
    <col min="12035" max="12036" width="11.375" customWidth="1"/>
    <col min="12038" max="12038" width="9.375" customWidth="1"/>
    <col min="12039" max="12039" width="9.125" customWidth="1"/>
    <col min="12040" max="12040" width="11.5" customWidth="1"/>
    <col min="12041" max="12041" width="9" customWidth="1"/>
    <col min="12291" max="12292" width="11.375" customWidth="1"/>
    <col min="12294" max="12294" width="9.375" customWidth="1"/>
    <col min="12295" max="12295" width="9.125" customWidth="1"/>
    <col min="12296" max="12296" width="11.5" customWidth="1"/>
    <col min="12297" max="12297" width="9" customWidth="1"/>
    <col min="12547" max="12548" width="11.375" customWidth="1"/>
    <col min="12550" max="12550" width="9.375" customWidth="1"/>
    <col min="12551" max="12551" width="9.125" customWidth="1"/>
    <col min="12552" max="12552" width="11.5" customWidth="1"/>
    <col min="12553" max="12553" width="9" customWidth="1"/>
    <col min="12803" max="12804" width="11.375" customWidth="1"/>
    <col min="12806" max="12806" width="9.375" customWidth="1"/>
    <col min="12807" max="12807" width="9.125" customWidth="1"/>
    <col min="12808" max="12808" width="11.5" customWidth="1"/>
    <col min="12809" max="12809" width="9" customWidth="1"/>
    <col min="13059" max="13060" width="11.375" customWidth="1"/>
    <col min="13062" max="13062" width="9.375" customWidth="1"/>
    <col min="13063" max="13063" width="9.125" customWidth="1"/>
    <col min="13064" max="13064" width="11.5" customWidth="1"/>
    <col min="13065" max="13065" width="9" customWidth="1"/>
    <col min="13315" max="13316" width="11.375" customWidth="1"/>
    <col min="13318" max="13318" width="9.375" customWidth="1"/>
    <col min="13319" max="13319" width="9.125" customWidth="1"/>
    <col min="13320" max="13320" width="11.5" customWidth="1"/>
    <col min="13321" max="13321" width="9" customWidth="1"/>
    <col min="13571" max="13572" width="11.375" customWidth="1"/>
    <col min="13574" max="13574" width="9.375" customWidth="1"/>
    <col min="13575" max="13575" width="9.125" customWidth="1"/>
    <col min="13576" max="13576" width="11.5" customWidth="1"/>
    <col min="13577" max="13577" width="9" customWidth="1"/>
    <col min="13827" max="13828" width="11.375" customWidth="1"/>
    <col min="13830" max="13830" width="9.375" customWidth="1"/>
    <col min="13831" max="13831" width="9.125" customWidth="1"/>
    <col min="13832" max="13832" width="11.5" customWidth="1"/>
    <col min="13833" max="13833" width="9" customWidth="1"/>
    <col min="14083" max="14084" width="11.375" customWidth="1"/>
    <col min="14086" max="14086" width="9.375" customWidth="1"/>
    <col min="14087" max="14087" width="9.125" customWidth="1"/>
    <col min="14088" max="14088" width="11.5" customWidth="1"/>
    <col min="14089" max="14089" width="9" customWidth="1"/>
    <col min="14339" max="14340" width="11.375" customWidth="1"/>
    <col min="14342" max="14342" width="9.375" customWidth="1"/>
    <col min="14343" max="14343" width="9.125" customWidth="1"/>
    <col min="14344" max="14344" width="11.5" customWidth="1"/>
    <col min="14345" max="14345" width="9" customWidth="1"/>
    <col min="14595" max="14596" width="11.375" customWidth="1"/>
    <col min="14598" max="14598" width="9.375" customWidth="1"/>
    <col min="14599" max="14599" width="9.125" customWidth="1"/>
    <col min="14600" max="14600" width="11.5" customWidth="1"/>
    <col min="14601" max="14601" width="9" customWidth="1"/>
    <col min="14851" max="14852" width="11.375" customWidth="1"/>
    <col min="14854" max="14854" width="9.375" customWidth="1"/>
    <col min="14855" max="14855" width="9.125" customWidth="1"/>
    <col min="14856" max="14856" width="11.5" customWidth="1"/>
    <col min="14857" max="14857" width="9" customWidth="1"/>
    <col min="15107" max="15108" width="11.375" customWidth="1"/>
    <col min="15110" max="15110" width="9.375" customWidth="1"/>
    <col min="15111" max="15111" width="9.125" customWidth="1"/>
    <col min="15112" max="15112" width="11.5" customWidth="1"/>
    <col min="15113" max="15113" width="9" customWidth="1"/>
    <col min="15363" max="15364" width="11.375" customWidth="1"/>
    <col min="15366" max="15366" width="9.375" customWidth="1"/>
    <col min="15367" max="15367" width="9.125" customWidth="1"/>
    <col min="15368" max="15368" width="11.5" customWidth="1"/>
    <col min="15369" max="15369" width="9" customWidth="1"/>
    <col min="15619" max="15620" width="11.375" customWidth="1"/>
    <col min="15622" max="15622" width="9.375" customWidth="1"/>
    <col min="15623" max="15623" width="9.125" customWidth="1"/>
    <col min="15624" max="15624" width="11.5" customWidth="1"/>
    <col min="15625" max="15625" width="9" customWidth="1"/>
    <col min="15875" max="15876" width="11.375" customWidth="1"/>
    <col min="15878" max="15878" width="9.375" customWidth="1"/>
    <col min="15879" max="15879" width="9.125" customWidth="1"/>
    <col min="15880" max="15880" width="11.5" customWidth="1"/>
    <col min="15881" max="15881" width="9" customWidth="1"/>
    <col min="16131" max="16132" width="11.375" customWidth="1"/>
    <col min="16134" max="16134" width="9.375" customWidth="1"/>
    <col min="16135" max="16135" width="9.125" customWidth="1"/>
    <col min="16136" max="16136" width="11.5" customWidth="1"/>
    <col min="16137" max="16137" width="9" customWidth="1"/>
  </cols>
  <sheetData>
    <row r="1" spans="1:56" ht="20.25" x14ac:dyDescent="0.3">
      <c r="A1" s="29" t="s">
        <v>95</v>
      </c>
      <c r="B1" s="29"/>
      <c r="C1" s="29"/>
      <c r="D1" s="29"/>
      <c r="E1" s="29"/>
      <c r="F1" s="29"/>
    </row>
    <row r="2" spans="1:56" ht="15" thickBot="1" x14ac:dyDescent="0.25">
      <c r="A2" t="s">
        <v>96</v>
      </c>
      <c r="I2" t="s">
        <v>97</v>
      </c>
    </row>
    <row r="3" spans="1:56" ht="15" thickBot="1" x14ac:dyDescent="0.25">
      <c r="A3" s="30"/>
      <c r="B3" s="31"/>
      <c r="C3" s="31" t="s">
        <v>98</v>
      </c>
      <c r="D3" s="32" t="s">
        <v>99</v>
      </c>
      <c r="E3" s="33">
        <v>-1</v>
      </c>
      <c r="F3" s="34">
        <v>0</v>
      </c>
      <c r="G3" s="33">
        <v>1</v>
      </c>
      <c r="H3" s="33">
        <v>2</v>
      </c>
      <c r="I3" s="33">
        <v>3</v>
      </c>
      <c r="J3" s="33">
        <v>4</v>
      </c>
      <c r="K3" s="33">
        <v>5</v>
      </c>
      <c r="L3" s="33">
        <v>6</v>
      </c>
      <c r="M3" s="33">
        <v>7</v>
      </c>
      <c r="N3" s="33">
        <v>8</v>
      </c>
      <c r="O3" s="33">
        <v>9</v>
      </c>
      <c r="P3" s="33">
        <v>10</v>
      </c>
      <c r="Q3" s="34">
        <v>11</v>
      </c>
      <c r="R3" s="33">
        <v>12</v>
      </c>
      <c r="S3" s="33">
        <v>13</v>
      </c>
      <c r="T3" s="33">
        <v>14</v>
      </c>
      <c r="U3" s="33">
        <v>15</v>
      </c>
      <c r="V3" s="33">
        <v>16</v>
      </c>
      <c r="W3" s="33">
        <v>17</v>
      </c>
      <c r="X3" s="33">
        <v>18</v>
      </c>
      <c r="Y3" s="33">
        <v>19</v>
      </c>
      <c r="Z3" s="33">
        <v>20</v>
      </c>
      <c r="AA3" s="33">
        <v>21</v>
      </c>
      <c r="AB3" s="34">
        <v>22</v>
      </c>
      <c r="AC3" s="33">
        <v>23</v>
      </c>
      <c r="AD3" s="33">
        <v>24</v>
      </c>
      <c r="AE3" s="33">
        <v>25</v>
      </c>
      <c r="AF3" s="33">
        <v>26</v>
      </c>
      <c r="AG3" s="33">
        <v>27</v>
      </c>
      <c r="AH3" s="33">
        <v>28</v>
      </c>
      <c r="AI3" s="33">
        <v>29</v>
      </c>
      <c r="AJ3" s="33">
        <v>30</v>
      </c>
      <c r="AK3" s="33">
        <v>31</v>
      </c>
      <c r="AL3" s="33">
        <v>32</v>
      </c>
      <c r="AM3" s="34">
        <v>33</v>
      </c>
      <c r="AN3" s="33">
        <v>34</v>
      </c>
      <c r="AO3" s="33">
        <v>35</v>
      </c>
      <c r="AP3" s="33">
        <v>36</v>
      </c>
      <c r="AQ3" s="33">
        <v>37</v>
      </c>
      <c r="AR3" s="33">
        <v>38</v>
      </c>
      <c r="AS3" s="33">
        <v>39</v>
      </c>
      <c r="AT3" s="33">
        <v>40</v>
      </c>
      <c r="AU3" s="33">
        <v>41</v>
      </c>
      <c r="AV3" s="33">
        <v>42</v>
      </c>
      <c r="AW3" s="33">
        <v>43</v>
      </c>
      <c r="AX3" s="34">
        <v>44</v>
      </c>
      <c r="AY3" s="33">
        <v>45</v>
      </c>
      <c r="AZ3" s="33">
        <v>46</v>
      </c>
      <c r="BA3" s="33">
        <v>47</v>
      </c>
      <c r="BB3" s="33">
        <v>48</v>
      </c>
      <c r="BC3" s="33">
        <v>49</v>
      </c>
      <c r="BD3" s="33">
        <v>50</v>
      </c>
    </row>
    <row r="4" spans="1:56" x14ac:dyDescent="0.2">
      <c r="A4" s="35" t="s">
        <v>100</v>
      </c>
      <c r="B4" s="36"/>
      <c r="C4" s="36"/>
      <c r="D4" s="37">
        <f>'Cost Estimation'!B193</f>
        <v>2798851419.5313005</v>
      </c>
      <c r="E4" s="38"/>
      <c r="F4" s="39"/>
      <c r="G4" s="36"/>
      <c r="H4" s="36"/>
      <c r="I4" s="36"/>
      <c r="J4" s="36"/>
      <c r="K4" s="36"/>
      <c r="L4" s="36"/>
      <c r="M4" s="36"/>
      <c r="N4" s="36"/>
      <c r="O4" s="36"/>
      <c r="P4" s="36"/>
      <c r="Q4" s="40"/>
    </row>
    <row r="5" spans="1:56" x14ac:dyDescent="0.2">
      <c r="A5" s="35" t="s">
        <v>101</v>
      </c>
      <c r="B5" s="36"/>
      <c r="C5" s="36"/>
      <c r="D5" s="83">
        <f>'Cost Estimation'!B288</f>
        <v>57091567.093839467</v>
      </c>
      <c r="E5" s="36"/>
      <c r="F5" s="40"/>
      <c r="G5" s="36"/>
      <c r="H5" s="36"/>
      <c r="I5" s="36"/>
      <c r="J5" s="36"/>
      <c r="K5" s="36"/>
      <c r="L5" s="36"/>
      <c r="M5" s="36"/>
      <c r="N5" s="36"/>
      <c r="O5" s="36"/>
      <c r="P5" s="36"/>
      <c r="Q5" s="40"/>
    </row>
    <row r="6" spans="1:56" x14ac:dyDescent="0.2">
      <c r="A6" s="41"/>
      <c r="B6" s="36"/>
      <c r="C6" s="36"/>
      <c r="D6" s="37"/>
      <c r="E6" s="36"/>
      <c r="F6" s="40"/>
      <c r="G6" s="36"/>
      <c r="H6" s="36"/>
      <c r="I6" s="36"/>
      <c r="J6" s="36"/>
      <c r="K6" s="36"/>
      <c r="L6" s="36"/>
      <c r="M6" s="36"/>
      <c r="N6" s="36"/>
      <c r="O6" s="36"/>
      <c r="P6" s="36"/>
      <c r="Q6" s="40"/>
    </row>
    <row r="7" spans="1:56" x14ac:dyDescent="0.2">
      <c r="A7" s="42" t="s">
        <v>102</v>
      </c>
      <c r="B7" s="43"/>
      <c r="C7" s="43"/>
      <c r="D7" s="37">
        <v>10</v>
      </c>
      <c r="E7" s="36"/>
      <c r="F7" s="40"/>
      <c r="G7" s="36"/>
      <c r="H7" s="36"/>
      <c r="I7" s="36"/>
      <c r="J7" s="36"/>
      <c r="K7" s="36"/>
      <c r="L7" s="36"/>
      <c r="M7" s="36"/>
      <c r="N7" s="36"/>
      <c r="O7" s="36"/>
      <c r="P7" s="36"/>
      <c r="Q7" s="40"/>
    </row>
    <row r="8" spans="1:56" x14ac:dyDescent="0.2">
      <c r="A8" s="42" t="s">
        <v>103</v>
      </c>
      <c r="B8" s="43"/>
      <c r="C8" s="43"/>
      <c r="D8" s="37">
        <v>20</v>
      </c>
      <c r="E8" s="36"/>
      <c r="F8" s="44"/>
      <c r="G8" s="36"/>
      <c r="H8" s="36"/>
      <c r="I8" s="36"/>
      <c r="J8" s="36"/>
      <c r="K8" s="36"/>
      <c r="L8" s="36"/>
      <c r="M8" s="36"/>
      <c r="N8" s="36"/>
      <c r="O8" s="36"/>
      <c r="P8" s="36"/>
      <c r="Q8" s="40"/>
    </row>
    <row r="9" spans="1:56" x14ac:dyDescent="0.2">
      <c r="A9" s="42"/>
      <c r="B9" s="43"/>
      <c r="C9" s="43"/>
      <c r="D9" s="37"/>
      <c r="E9" s="36"/>
      <c r="F9" s="44"/>
      <c r="G9" s="36"/>
      <c r="H9" s="36"/>
      <c r="I9" s="36"/>
      <c r="J9" s="36"/>
      <c r="K9" s="36"/>
      <c r="L9" s="36"/>
      <c r="M9" s="36"/>
      <c r="N9" s="36"/>
      <c r="O9" s="36"/>
      <c r="P9" s="36"/>
      <c r="Q9" s="40"/>
    </row>
    <row r="10" spans="1:56" x14ac:dyDescent="0.2">
      <c r="A10" s="45" t="s">
        <v>104</v>
      </c>
      <c r="B10" s="46"/>
      <c r="C10" s="46"/>
      <c r="D10" s="47"/>
      <c r="E10" s="46"/>
      <c r="F10" s="48"/>
      <c r="G10" s="46">
        <f>($D$8/100)*(1-$D$8/100)^(G3-1)</f>
        <v>0.2</v>
      </c>
      <c r="H10" s="49">
        <f>($D$8/100)*(1-$D$8/100)^(H3-1)</f>
        <v>0.16000000000000003</v>
      </c>
      <c r="I10" s="49">
        <f>($D$8/100)*(1-$D$8/100)^(I3-1)</f>
        <v>0.12800000000000003</v>
      </c>
      <c r="J10" s="49">
        <f>($D$8/100)*(1-$D$8/100)^(J3-1)</f>
        <v>0.10240000000000003</v>
      </c>
      <c r="K10" s="49">
        <f>($D$8/100)*(1-$D$8/100)^(K3-1)</f>
        <v>8.1920000000000048E-2</v>
      </c>
      <c r="L10" s="49">
        <f>($D$8/100)*(1-$D$8/100)^(L3-1)</f>
        <v>6.5536000000000039E-2</v>
      </c>
      <c r="M10" s="49">
        <f>($D$8/100)*(1-$D$8/100)^(M3-1)</f>
        <v>5.2428800000000032E-2</v>
      </c>
      <c r="N10" s="49">
        <f>($D$8/100)*(1-$D$8/100)^(N3-1)</f>
        <v>4.1943040000000036E-2</v>
      </c>
      <c r="O10" s="49">
        <f>($D$8/100)*(1-$D$8/100)^(O3-1)</f>
        <v>3.355443200000003E-2</v>
      </c>
      <c r="P10" s="49">
        <f>($D$8/100)*(1-$D$8/100)^(P3-1)</f>
        <v>2.6843545600000025E-2</v>
      </c>
      <c r="Q10" s="46">
        <f>($D$8/100)*(1-$D$8/100)^(Q3-1)</f>
        <v>2.1474836480000023E-2</v>
      </c>
      <c r="R10" s="49">
        <f>($D$8/100)*(1-$D$8/100)^(R3-1)</f>
        <v>1.717986918400002E-2</v>
      </c>
      <c r="S10" s="49">
        <f>($D$8/100)*(1-$D$8/100)^(S3-1)</f>
        <v>1.3743895347200019E-2</v>
      </c>
      <c r="T10" s="49">
        <f>($D$8/100)*(1-$D$8/100)^(T3-1)</f>
        <v>1.0995116277760016E-2</v>
      </c>
      <c r="U10" s="49">
        <f>($D$8/100)*(1-$D$8/100)^(U3-1)</f>
        <v>8.7960930222080128E-3</v>
      </c>
      <c r="V10" s="49">
        <f>($D$8/100)*(1-$D$8/100)^(V3-1)</f>
        <v>7.036874417766412E-3</v>
      </c>
      <c r="W10" s="49">
        <f>($D$8/100)*(1-$D$8/100)^(W3-1)</f>
        <v>5.6294995342131299E-3</v>
      </c>
      <c r="X10" s="49">
        <f>($D$8/100)*(1-$D$8/100)^(X3-1)</f>
        <v>4.5035996273705041E-3</v>
      </c>
      <c r="Y10" s="49">
        <f>($D$8/100)*(1-$D$8/100)^(Y3-1)</f>
        <v>3.6028797018964036E-3</v>
      </c>
      <c r="Z10" s="49">
        <f>($D$8/100)*(1-$D$8/100)^(Z3-1)</f>
        <v>2.8823037615171229E-3</v>
      </c>
      <c r="AA10" s="46">
        <f>($D$8/100)*(1-$D$8/100)^(AA3-1)</f>
        <v>2.3058430092136989E-3</v>
      </c>
      <c r="AB10" s="49">
        <f>($D$8/100)*(1-$D$8/100)^(AB3-1)</f>
        <v>1.8446744073709596E-3</v>
      </c>
      <c r="AC10" s="49">
        <f>($D$8/100)*(1-$D$8/100)^(AC3-1)</f>
        <v>1.4757395258967675E-3</v>
      </c>
      <c r="AD10" s="49">
        <f>($D$8/100)*(1-$D$8/100)^(AD3-1)</f>
        <v>1.1805916207174142E-3</v>
      </c>
      <c r="AE10" s="49">
        <f>($D$8/100)*(1-$D$8/100)^(AE3-1)</f>
        <v>9.4447329657393146E-4</v>
      </c>
      <c r="AF10" s="49">
        <f>($D$8/100)*(1-$D$8/100)^(AF3-1)</f>
        <v>7.5557863725914521E-4</v>
      </c>
      <c r="AG10" s="49">
        <f>($D$8/100)*(1-$D$8/100)^(AG3-1)</f>
        <v>6.0446290980731635E-4</v>
      </c>
      <c r="AH10" s="49">
        <f>($D$8/100)*(1-$D$8/100)^(AH3-1)</f>
        <v>4.8357032784585301E-4</v>
      </c>
      <c r="AI10" s="49">
        <f>($D$8/100)*(1-$D$8/100)^(AI3-1)</f>
        <v>3.8685626227668256E-4</v>
      </c>
      <c r="AJ10" s="49">
        <f>($D$8/100)*(1-$D$8/100)^(AJ3-1)</f>
        <v>3.0948500982134607E-4</v>
      </c>
      <c r="AK10" s="46">
        <f>($D$8/100)*(1-$D$8/100)^(AK3-1)</f>
        <v>2.4758800785707683E-4</v>
      </c>
      <c r="AL10" s="49">
        <f>($D$8/100)*(1-$D$8/100)^(AL3-1)</f>
        <v>1.9807040628566153E-4</v>
      </c>
      <c r="AM10" s="49">
        <f>($D$8/100)*(1-$D$8/100)^(AM3-1)</f>
        <v>1.5845632502852923E-4</v>
      </c>
      <c r="AN10" s="49">
        <f>($D$8/100)*(1-$D$8/100)^(AN3-1)</f>
        <v>1.2676506002282339E-4</v>
      </c>
      <c r="AO10" s="49">
        <f>($D$8/100)*(1-$D$8/100)^(AO3-1)</f>
        <v>1.0141204801825875E-4</v>
      </c>
      <c r="AP10" s="49">
        <f>($D$8/100)*(1-$D$8/100)^(AP3-1)</f>
        <v>8.1129638414606989E-5</v>
      </c>
      <c r="AQ10" s="49">
        <f>($D$8/100)*(1-$D$8/100)^(AQ3-1)</f>
        <v>6.4903710731685607E-5</v>
      </c>
      <c r="AR10" s="49">
        <f>($D$8/100)*(1-$D$8/100)^(AR3-1)</f>
        <v>5.1922968585348491E-5</v>
      </c>
      <c r="AS10" s="49">
        <f>($D$8/100)*(1-$D$8/100)^(AS3-1)</f>
        <v>4.1538374868278787E-5</v>
      </c>
      <c r="AT10" s="49">
        <f>($D$8/100)*(1-$D$8/100)^(AT3-1)</f>
        <v>3.3230699894623037E-5</v>
      </c>
      <c r="AU10" s="46">
        <f>($D$8/100)*(1-$D$8/100)^(AU3-1)</f>
        <v>2.6584559915698436E-5</v>
      </c>
      <c r="AV10" s="49">
        <f>($D$8/100)*(1-$D$8/100)^(AV3-1)</f>
        <v>2.1267647932558746E-5</v>
      </c>
      <c r="AW10" s="49">
        <f>($D$8/100)*(1-$D$8/100)^(AW3-1)</f>
        <v>1.7014118346046999E-5</v>
      </c>
      <c r="AX10" s="49">
        <f>($D$8/100)*(1-$D$8/100)^(AX3-1)</f>
        <v>1.3611294676837601E-5</v>
      </c>
      <c r="AY10" s="49">
        <f>($D$8/100)*(1-$D$8/100)^(AY3-1)</f>
        <v>1.0889035741470085E-5</v>
      </c>
      <c r="AZ10" s="49">
        <f>($D$8/100)*(1-$D$8/100)^(AZ3-1)</f>
        <v>8.7112285931760689E-6</v>
      </c>
      <c r="BA10" s="49">
        <f>($D$8/100)*(1-$D$8/100)^(BA3-1)</f>
        <v>6.9689828745408543E-6</v>
      </c>
      <c r="BB10" s="49">
        <f>($D$8/100)*(1-$D$8/100)^(BB3-1)</f>
        <v>5.5751862996326844E-6</v>
      </c>
      <c r="BC10" s="49">
        <f>($D$8/100)*(1-$D$8/100)^(BC3-1)</f>
        <v>4.4601490397061481E-6</v>
      </c>
      <c r="BD10" s="49">
        <f>($D$8/100)*(1-$D$8/100)^(BD3-1)</f>
        <v>3.5681192317649188E-6</v>
      </c>
    </row>
    <row r="11" spans="1:56" x14ac:dyDescent="0.2">
      <c r="A11" s="41"/>
      <c r="B11" s="36"/>
      <c r="C11" s="36"/>
      <c r="D11" s="37"/>
      <c r="E11" s="36"/>
      <c r="F11" s="40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40"/>
    </row>
    <row r="12" spans="1:56" x14ac:dyDescent="0.2">
      <c r="A12" s="41" t="s">
        <v>105</v>
      </c>
      <c r="B12" s="36"/>
      <c r="C12" s="36"/>
      <c r="D12" s="37"/>
      <c r="E12" s="36"/>
      <c r="F12" s="40">
        <f>-D4</f>
        <v>-2798851419.5313005</v>
      </c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40"/>
    </row>
    <row r="13" spans="1:56" x14ac:dyDescent="0.2">
      <c r="A13" s="41" t="s">
        <v>106</v>
      </c>
      <c r="B13" s="36"/>
      <c r="C13" s="36"/>
      <c r="D13" s="37"/>
      <c r="E13" s="36"/>
      <c r="F13" s="85">
        <f>-D5</f>
        <v>-57091567.093839467</v>
      </c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40"/>
    </row>
    <row r="14" spans="1:56" x14ac:dyDescent="0.2">
      <c r="A14" s="45" t="s">
        <v>107</v>
      </c>
      <c r="B14" s="46"/>
      <c r="C14" s="46"/>
      <c r="D14" s="47"/>
      <c r="E14" s="46"/>
      <c r="F14" s="48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8"/>
    </row>
    <row r="15" spans="1:56" x14ac:dyDescent="0.2">
      <c r="A15" s="35" t="s">
        <v>108</v>
      </c>
      <c r="B15" s="36"/>
      <c r="C15" s="36"/>
      <c r="D15" s="37">
        <f>'Cost Estimation'!B281</f>
        <v>134932204.18896461</v>
      </c>
      <c r="E15" s="36"/>
      <c r="F15" s="50"/>
      <c r="G15" s="51">
        <f>D15</f>
        <v>134932204.18896461</v>
      </c>
      <c r="H15" s="51">
        <f>$D$15</f>
        <v>134932204.18896461</v>
      </c>
      <c r="I15" s="51">
        <f>$D$15</f>
        <v>134932204.18896461</v>
      </c>
      <c r="J15" s="51">
        <f>$D$15</f>
        <v>134932204.18896461</v>
      </c>
      <c r="K15" s="51">
        <f>$D$15</f>
        <v>134932204.18896461</v>
      </c>
      <c r="L15" s="51">
        <f>$D$15</f>
        <v>134932204.18896461</v>
      </c>
      <c r="M15" s="51">
        <f>$D$15</f>
        <v>134932204.18896461</v>
      </c>
      <c r="N15" s="51">
        <f>$D$15</f>
        <v>134932204.18896461</v>
      </c>
      <c r="O15" s="51">
        <f>$D$15</f>
        <v>134932204.18896461</v>
      </c>
      <c r="P15" s="51">
        <f>$D$15</f>
        <v>134932204.18896461</v>
      </c>
      <c r="Q15" s="51">
        <f>$D$15</f>
        <v>134932204.18896461</v>
      </c>
      <c r="R15" s="51">
        <f>$D$15</f>
        <v>134932204.18896461</v>
      </c>
      <c r="S15" s="51">
        <f>$D$15</f>
        <v>134932204.18896461</v>
      </c>
      <c r="T15" s="51">
        <f>$D$15</f>
        <v>134932204.18896461</v>
      </c>
      <c r="U15" s="51">
        <f>$D$15</f>
        <v>134932204.18896461</v>
      </c>
      <c r="V15" s="51">
        <f>$D$15</f>
        <v>134932204.18896461</v>
      </c>
      <c r="W15" s="51">
        <f>$D$15</f>
        <v>134932204.18896461</v>
      </c>
      <c r="X15" s="51">
        <f>$D$15</f>
        <v>134932204.18896461</v>
      </c>
      <c r="Y15" s="51">
        <f>$D$15</f>
        <v>134932204.18896461</v>
      </c>
      <c r="Z15" s="51">
        <f>$D$15</f>
        <v>134932204.18896461</v>
      </c>
      <c r="AA15" s="51">
        <f>X15</f>
        <v>134932204.18896461</v>
      </c>
      <c r="AB15" s="51">
        <f>$D$15</f>
        <v>134932204.18896461</v>
      </c>
      <c r="AC15" s="51">
        <f>$D$15</f>
        <v>134932204.18896461</v>
      </c>
      <c r="AD15" s="51">
        <f>$D$15</f>
        <v>134932204.18896461</v>
      </c>
      <c r="AE15" s="51">
        <f>$D$15</f>
        <v>134932204.18896461</v>
      </c>
      <c r="AF15" s="51">
        <f>$D$15</f>
        <v>134932204.18896461</v>
      </c>
      <c r="AG15" s="51">
        <f>$D$15</f>
        <v>134932204.18896461</v>
      </c>
      <c r="AH15" s="51">
        <f>$D$15</f>
        <v>134932204.18896461</v>
      </c>
      <c r="AI15" s="51">
        <f>$D$15</f>
        <v>134932204.18896461</v>
      </c>
      <c r="AJ15" s="51">
        <f>$D$15</f>
        <v>134932204.18896461</v>
      </c>
      <c r="AK15" s="51">
        <f>AH15</f>
        <v>134932204.18896461</v>
      </c>
      <c r="AL15" s="51">
        <f>$D$15</f>
        <v>134932204.18896461</v>
      </c>
      <c r="AM15" s="51">
        <f>$D$15</f>
        <v>134932204.18896461</v>
      </c>
      <c r="AN15" s="51">
        <f>$D$15</f>
        <v>134932204.18896461</v>
      </c>
      <c r="AO15" s="51">
        <f>$D$15</f>
        <v>134932204.18896461</v>
      </c>
      <c r="AP15" s="51">
        <f>$D$15</f>
        <v>134932204.18896461</v>
      </c>
      <c r="AQ15" s="51">
        <f>$D$15</f>
        <v>134932204.18896461</v>
      </c>
      <c r="AR15" s="51">
        <f>$D$15</f>
        <v>134932204.18896461</v>
      </c>
      <c r="AS15" s="51">
        <f>$D$15</f>
        <v>134932204.18896461</v>
      </c>
      <c r="AT15" s="51">
        <f>$D$15</f>
        <v>134932204.18896461</v>
      </c>
      <c r="AU15" s="51">
        <f>AR15</f>
        <v>134932204.18896461</v>
      </c>
      <c r="AV15" s="51">
        <f>$D$15</f>
        <v>134932204.18896461</v>
      </c>
      <c r="AW15" s="51">
        <f>$D$15</f>
        <v>134932204.18896461</v>
      </c>
      <c r="AX15" s="51">
        <f>$D$15</f>
        <v>134932204.18896461</v>
      </c>
      <c r="AY15" s="51">
        <f>$D$15</f>
        <v>134932204.18896461</v>
      </c>
      <c r="AZ15" s="51">
        <f>$D$15</f>
        <v>134932204.18896461</v>
      </c>
      <c r="BA15" s="51">
        <f>$D$15</f>
        <v>134932204.18896461</v>
      </c>
      <c r="BB15" s="51">
        <f>$D$15</f>
        <v>134932204.18896461</v>
      </c>
      <c r="BC15" s="51">
        <f>$D$15</f>
        <v>134932204.18896461</v>
      </c>
      <c r="BD15" s="51">
        <f>$D$15</f>
        <v>134932204.18896461</v>
      </c>
    </row>
    <row r="16" spans="1:56" x14ac:dyDescent="0.2">
      <c r="A16" s="52" t="s">
        <v>109</v>
      </c>
      <c r="B16" s="46"/>
      <c r="C16" s="46"/>
      <c r="D16" s="47">
        <f>'Cost Estimation'!B259</f>
        <v>47183771.352004573</v>
      </c>
      <c r="E16" s="46"/>
      <c r="F16" s="53"/>
      <c r="G16" s="54">
        <f>$D$16</f>
        <v>47183771.352004573</v>
      </c>
      <c r="H16" s="54">
        <f>$D$16</f>
        <v>47183771.352004573</v>
      </c>
      <c r="I16" s="54">
        <f>$D$16</f>
        <v>47183771.352004573</v>
      </c>
      <c r="J16" s="54">
        <f>$D$16</f>
        <v>47183771.352004573</v>
      </c>
      <c r="K16" s="54">
        <f>$D$16</f>
        <v>47183771.352004573</v>
      </c>
      <c r="L16" s="54">
        <f>$D$16</f>
        <v>47183771.352004573</v>
      </c>
      <c r="M16" s="54">
        <f>$D$16</f>
        <v>47183771.352004573</v>
      </c>
      <c r="N16" s="54">
        <f>$D$16</f>
        <v>47183771.352004573</v>
      </c>
      <c r="O16" s="54">
        <f>$D$16</f>
        <v>47183771.352004573</v>
      </c>
      <c r="P16" s="54">
        <f>$D$16</f>
        <v>47183771.352004573</v>
      </c>
      <c r="Q16" s="54">
        <f>$D$16</f>
        <v>47183771.352004573</v>
      </c>
      <c r="R16" s="54">
        <f>$D$16</f>
        <v>47183771.352004573</v>
      </c>
      <c r="S16" s="54">
        <f>$D$16</f>
        <v>47183771.352004573</v>
      </c>
      <c r="T16" s="54">
        <f>$D$16</f>
        <v>47183771.352004573</v>
      </c>
      <c r="U16" s="54">
        <f>$D$16</f>
        <v>47183771.352004573</v>
      </c>
      <c r="V16" s="54">
        <f>$D$16</f>
        <v>47183771.352004573</v>
      </c>
      <c r="W16" s="54">
        <f>$D$16</f>
        <v>47183771.352004573</v>
      </c>
      <c r="X16" s="54">
        <f>$D$16</f>
        <v>47183771.352004573</v>
      </c>
      <c r="Y16" s="54">
        <f>$D$16</f>
        <v>47183771.352004573</v>
      </c>
      <c r="Z16" s="54">
        <f>$D$16</f>
        <v>47183771.352004573</v>
      </c>
      <c r="AA16" s="54">
        <f>$D$16</f>
        <v>47183771.352004573</v>
      </c>
      <c r="AB16" s="54">
        <f>$D$16</f>
        <v>47183771.352004573</v>
      </c>
      <c r="AC16" s="54">
        <f>$D$16</f>
        <v>47183771.352004573</v>
      </c>
      <c r="AD16" s="54">
        <f>$D$16</f>
        <v>47183771.352004573</v>
      </c>
      <c r="AE16" s="54">
        <f>$D$16</f>
        <v>47183771.352004573</v>
      </c>
      <c r="AF16" s="54">
        <f>$D$16</f>
        <v>47183771.352004573</v>
      </c>
      <c r="AG16" s="54">
        <f>$D$16</f>
        <v>47183771.352004573</v>
      </c>
      <c r="AH16" s="54">
        <f>$D$16</f>
        <v>47183771.352004573</v>
      </c>
      <c r="AI16" s="54">
        <f>$D$16</f>
        <v>47183771.352004573</v>
      </c>
      <c r="AJ16" s="54">
        <f>$D$16</f>
        <v>47183771.352004573</v>
      </c>
      <c r="AK16" s="54">
        <f>$D$16</f>
        <v>47183771.352004573</v>
      </c>
      <c r="AL16" s="54">
        <f>$D$16</f>
        <v>47183771.352004573</v>
      </c>
      <c r="AM16" s="54">
        <f>$D$16</f>
        <v>47183771.352004573</v>
      </c>
      <c r="AN16" s="54">
        <f>$D$16</f>
        <v>47183771.352004573</v>
      </c>
      <c r="AO16" s="54">
        <f>$D$16</f>
        <v>47183771.352004573</v>
      </c>
      <c r="AP16" s="54">
        <f>$D$16</f>
        <v>47183771.352004573</v>
      </c>
      <c r="AQ16" s="54">
        <f>$D$16</f>
        <v>47183771.352004573</v>
      </c>
      <c r="AR16" s="54">
        <f>$D$16</f>
        <v>47183771.352004573</v>
      </c>
      <c r="AS16" s="54">
        <f>$D$16</f>
        <v>47183771.352004573</v>
      </c>
      <c r="AT16" s="54">
        <f>$D$16</f>
        <v>47183771.352004573</v>
      </c>
      <c r="AU16" s="54">
        <f>$D$16</f>
        <v>47183771.352004573</v>
      </c>
      <c r="AV16" s="54">
        <f>$D$16</f>
        <v>47183771.352004573</v>
      </c>
      <c r="AW16" s="54">
        <f>$D$16</f>
        <v>47183771.352004573</v>
      </c>
      <c r="AX16" s="54">
        <f>$D$16</f>
        <v>47183771.352004573</v>
      </c>
      <c r="AY16" s="54">
        <f>$D$16</f>
        <v>47183771.352004573</v>
      </c>
      <c r="AZ16" s="54">
        <f>$D$16</f>
        <v>47183771.352004573</v>
      </c>
      <c r="BA16" s="54">
        <f>$D$16</f>
        <v>47183771.352004573</v>
      </c>
      <c r="BB16" s="54">
        <f>$D$16</f>
        <v>47183771.352004573</v>
      </c>
      <c r="BC16" s="54">
        <f>$D$16</f>
        <v>47183771.352004573</v>
      </c>
      <c r="BD16" s="54">
        <f>$D$16</f>
        <v>47183771.352004573</v>
      </c>
    </row>
    <row r="17" spans="1:57" x14ac:dyDescent="0.2">
      <c r="A17" s="41" t="s">
        <v>110</v>
      </c>
      <c r="B17" s="36"/>
      <c r="C17" s="36"/>
      <c r="D17" s="37"/>
      <c r="E17" s="36"/>
      <c r="F17" s="50"/>
      <c r="G17" s="51">
        <f>G15-G16</f>
        <v>87748432.836960033</v>
      </c>
      <c r="H17" s="51">
        <f>H15-H16</f>
        <v>87748432.836960033</v>
      </c>
      <c r="I17" s="51">
        <f>I15-I16</f>
        <v>87748432.836960033</v>
      </c>
      <c r="J17" s="51">
        <f>J15-J16</f>
        <v>87748432.836960033</v>
      </c>
      <c r="K17" s="51">
        <f>K15-K16</f>
        <v>87748432.836960033</v>
      </c>
      <c r="L17" s="51">
        <f>L15-L16</f>
        <v>87748432.836960033</v>
      </c>
      <c r="M17" s="51">
        <f>M15-M16</f>
        <v>87748432.836960033</v>
      </c>
      <c r="N17" s="51">
        <f>N15-N16</f>
        <v>87748432.836960033</v>
      </c>
      <c r="O17" s="51">
        <f>O15-O16</f>
        <v>87748432.836960033</v>
      </c>
      <c r="P17" s="51">
        <f>P15-P16</f>
        <v>87748432.836960033</v>
      </c>
      <c r="Q17" s="51">
        <f>Q15-Q16</f>
        <v>87748432.836960033</v>
      </c>
      <c r="R17" s="51">
        <f>R15-R16</f>
        <v>87748432.836960033</v>
      </c>
      <c r="S17" s="51">
        <f>S15-S16</f>
        <v>87748432.836960033</v>
      </c>
      <c r="T17" s="51">
        <f>T15-T16</f>
        <v>87748432.836960033</v>
      </c>
      <c r="U17" s="51">
        <f>U15-U16</f>
        <v>87748432.836960033</v>
      </c>
      <c r="V17" s="51">
        <f>V15-V16</f>
        <v>87748432.836960033</v>
      </c>
      <c r="W17" s="51">
        <f>W15-W16</f>
        <v>87748432.836960033</v>
      </c>
      <c r="X17" s="51">
        <f>X15-X16</f>
        <v>87748432.836960033</v>
      </c>
      <c r="Y17" s="51">
        <f>Y15-Y16</f>
        <v>87748432.836960033</v>
      </c>
      <c r="Z17" s="51">
        <f>Z15-Z16</f>
        <v>87748432.836960033</v>
      </c>
      <c r="AA17" s="51">
        <f>AA15-AA16</f>
        <v>87748432.836960033</v>
      </c>
      <c r="AB17" s="51">
        <f>AB15-AB16</f>
        <v>87748432.836960033</v>
      </c>
      <c r="AC17" s="51">
        <f>AC15-AC16</f>
        <v>87748432.836960033</v>
      </c>
      <c r="AD17" s="51">
        <f>AD15-AD16</f>
        <v>87748432.836960033</v>
      </c>
      <c r="AE17" s="51">
        <f>AE15-AE16</f>
        <v>87748432.836960033</v>
      </c>
      <c r="AF17" s="51">
        <f>AF15-AF16</f>
        <v>87748432.836960033</v>
      </c>
      <c r="AG17" s="51">
        <f>AG15-AG16</f>
        <v>87748432.836960033</v>
      </c>
      <c r="AH17" s="51">
        <f>AH15-AH16</f>
        <v>87748432.836960033</v>
      </c>
      <c r="AI17" s="51">
        <f>AI15-AI16</f>
        <v>87748432.836960033</v>
      </c>
      <c r="AJ17" s="51">
        <f>AJ15-AJ16</f>
        <v>87748432.836960033</v>
      </c>
      <c r="AK17" s="51">
        <f>AK15-AK16</f>
        <v>87748432.836960033</v>
      </c>
      <c r="AL17" s="51">
        <f>AL15-AL16</f>
        <v>87748432.836960033</v>
      </c>
      <c r="AM17" s="51">
        <f>AM15-AM16</f>
        <v>87748432.836960033</v>
      </c>
      <c r="AN17" s="51">
        <f>AN15-AN16</f>
        <v>87748432.836960033</v>
      </c>
      <c r="AO17" s="51">
        <f>AO15-AO16</f>
        <v>87748432.836960033</v>
      </c>
      <c r="AP17" s="51">
        <f>AP15-AP16</f>
        <v>87748432.836960033</v>
      </c>
      <c r="AQ17" s="51">
        <f>AQ15-AQ16</f>
        <v>87748432.836960033</v>
      </c>
      <c r="AR17" s="51">
        <f>AR15-AR16</f>
        <v>87748432.836960033</v>
      </c>
      <c r="AS17" s="51">
        <f>AS15-AS16</f>
        <v>87748432.836960033</v>
      </c>
      <c r="AT17" s="51">
        <f>AT15-AT16</f>
        <v>87748432.836960033</v>
      </c>
      <c r="AU17" s="51">
        <f>AU15-AU16</f>
        <v>87748432.836960033</v>
      </c>
      <c r="AV17" s="51">
        <f>AV15-AV16</f>
        <v>87748432.836960033</v>
      </c>
      <c r="AW17" s="51">
        <f>AW15-AW16</f>
        <v>87748432.836960033</v>
      </c>
      <c r="AX17" s="51">
        <f>AX15-AX16</f>
        <v>87748432.836960033</v>
      </c>
      <c r="AY17" s="51">
        <f>AY15-AY16</f>
        <v>87748432.836960033</v>
      </c>
      <c r="AZ17" s="51">
        <f>AZ15-AZ16</f>
        <v>87748432.836960033</v>
      </c>
      <c r="BA17" s="51">
        <f>BA15-BA16</f>
        <v>87748432.836960033</v>
      </c>
      <c r="BB17" s="51">
        <f>BB15-BB16</f>
        <v>87748432.836960033</v>
      </c>
      <c r="BC17" s="51">
        <f>BC15-BC16</f>
        <v>87748432.836960033</v>
      </c>
      <c r="BD17" s="51">
        <f>BD15-BD16</f>
        <v>87748432.836960033</v>
      </c>
    </row>
    <row r="18" spans="1:57" x14ac:dyDescent="0.2">
      <c r="A18" s="41"/>
      <c r="B18" s="36"/>
      <c r="C18" s="36"/>
      <c r="D18" s="37"/>
      <c r="E18" s="36"/>
      <c r="F18" s="50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40"/>
    </row>
    <row r="19" spans="1:57" x14ac:dyDescent="0.2">
      <c r="A19" s="45" t="s">
        <v>111</v>
      </c>
      <c r="B19" s="46"/>
      <c r="C19" s="46"/>
      <c r="D19" s="47"/>
      <c r="E19" s="46"/>
      <c r="F19" s="53"/>
      <c r="G19" s="54">
        <f>-$F$12*G10+$D$4*$D$7/100</f>
        <v>839655425.85939014</v>
      </c>
      <c r="H19" s="54">
        <f>-$F$12*H10+$D$4*$D$7/100</f>
        <v>727701369.07813811</v>
      </c>
      <c r="I19" s="54">
        <f>-$F$12*I10+$D$4*$D$7/100</f>
        <v>638138123.65313649</v>
      </c>
      <c r="J19" s="54">
        <f>-$F$12*J10+$D$4*$D$7/100</f>
        <v>566487527.31313527</v>
      </c>
      <c r="K19" s="54">
        <f>-$F$12*K10+$D$4*$D$7/100</f>
        <v>509167050.24113429</v>
      </c>
      <c r="L19" s="54">
        <f>-$F$12*L10+$D$4*$D$7/100</f>
        <v>463310668.58353341</v>
      </c>
      <c r="M19" s="54">
        <f>-$F$12*M10+$D$4*$D$7/100</f>
        <v>426625563.25745273</v>
      </c>
      <c r="N19" s="54">
        <f>-$F$12*N10+$D$4*$D$7/100</f>
        <v>397277478.99658823</v>
      </c>
      <c r="O19" s="54">
        <f>-$F$12*O10+$D$4*$D$7/100</f>
        <v>373799011.58789659</v>
      </c>
      <c r="P19" s="54">
        <f>-$F$12*P10+$D$4*$D$7/100</f>
        <v>355016237.66094327</v>
      </c>
      <c r="Q19" s="54">
        <f>-$F$12*Q10+$D$4*$D$7/100</f>
        <v>339990018.51938063</v>
      </c>
      <c r="R19" s="54">
        <f>-$F$12*R10+$D$4*$D$7/100</f>
        <v>327969043.2061305</v>
      </c>
      <c r="S19" s="54">
        <f>-$F$12*S10+$D$4*$D$7/100</f>
        <v>318352262.95553041</v>
      </c>
      <c r="T19" s="54">
        <f>-$F$12*T10+$D$4*$D$7/100</f>
        <v>310658838.75505036</v>
      </c>
      <c r="U19" s="54">
        <f>-$F$12*U10+$D$4*$D$7/100</f>
        <v>304504099.39466625</v>
      </c>
      <c r="V19" s="54">
        <f>-$F$12*V10+$D$4*$D$7/100</f>
        <v>299580307.90635902</v>
      </c>
      <c r="W19" s="54">
        <f>-$F$12*W10+$D$4*$D$7/100</f>
        <v>295641274.7157132</v>
      </c>
      <c r="X19" s="54">
        <f>-$F$12*X10+$D$4*$D$7/100</f>
        <v>292490048.16319656</v>
      </c>
      <c r="Y19" s="54">
        <f>-$F$12*Y10+$D$4*$D$7/100</f>
        <v>289969066.92118329</v>
      </c>
      <c r="Z19" s="54">
        <f>-$F$12*Z10+$D$4*$D$7/100</f>
        <v>287952281.92757261</v>
      </c>
      <c r="AA19" s="54">
        <f>-$F$12*AA10+$D$4*$D$7/100</f>
        <v>286338853.93268406</v>
      </c>
      <c r="AB19" s="54">
        <f>-$F$12*AB10+$D$4*$D$7/100</f>
        <v>285048111.53677326</v>
      </c>
      <c r="AC19" s="54">
        <f>-$F$12*AC10+$D$4*$D$7/100</f>
        <v>284015517.62004465</v>
      </c>
      <c r="AD19" s="54">
        <f>-$F$12*AD10+$D$4*$D$7/100</f>
        <v>283189442.48666167</v>
      </c>
      <c r="AE19" s="54">
        <f>-$F$12*AE10+$D$4*$D$7/100</f>
        <v>282528582.37995535</v>
      </c>
      <c r="AF19" s="54">
        <f>-$F$12*AF10+$D$4*$D$7/100</f>
        <v>281999894.29459029</v>
      </c>
      <c r="AG19" s="54">
        <f>-$F$12*AG10+$D$4*$D$7/100</f>
        <v>281576943.82629824</v>
      </c>
      <c r="AH19" s="54">
        <f>-$F$12*AH10+$D$4*$D$7/100</f>
        <v>281238583.45166457</v>
      </c>
      <c r="AI19" s="54">
        <f>-$F$12*AI10+$D$4*$D$7/100</f>
        <v>280967895.15195769</v>
      </c>
      <c r="AJ19" s="54">
        <f>-$F$12*AJ10+$D$4*$D$7/100</f>
        <v>280751344.51219213</v>
      </c>
      <c r="AK19" s="54">
        <f>-$F$12*AK10+$D$4*$D$7/100</f>
        <v>280578104.00037974</v>
      </c>
      <c r="AL19" s="54">
        <f>-$F$12*AL10+$D$4*$D$7/100</f>
        <v>280439511.59092975</v>
      </c>
      <c r="AM19" s="54">
        <f>-$F$12*AM10+$D$4*$D$7/100</f>
        <v>280328637.66336983</v>
      </c>
      <c r="AN19" s="54">
        <f>-$F$12*AN10+$D$4*$D$7/100</f>
        <v>280239938.52132183</v>
      </c>
      <c r="AO19" s="54">
        <f>-$F$12*AO10+$D$4*$D$7/100</f>
        <v>280168979.2076835</v>
      </c>
      <c r="AP19" s="54">
        <f>-$F$12*AP10+$D$4*$D$7/100</f>
        <v>280112211.75677282</v>
      </c>
      <c r="AQ19" s="54">
        <f>-$F$12*AQ10+$D$4*$D$7/100</f>
        <v>280066797.79604423</v>
      </c>
      <c r="AR19" s="54">
        <f>-$F$12*AR10+$D$4*$D$7/100</f>
        <v>280030466.62746137</v>
      </c>
      <c r="AS19" s="54">
        <f>-$F$12*AS10+$D$4*$D$7/100</f>
        <v>280001401.69259512</v>
      </c>
      <c r="AT19" s="54">
        <f>-$F$12*AT10+$D$4*$D$7/100</f>
        <v>279978149.7447021</v>
      </c>
      <c r="AU19" s="54">
        <f>-$F$12*AU10+$D$4*$D$7/100</f>
        <v>279959548.18638766</v>
      </c>
      <c r="AV19" s="54">
        <f>-$F$12*AV10+$D$4*$D$7/100</f>
        <v>279944666.93973613</v>
      </c>
      <c r="AW19" s="54">
        <f>-$F$12*AW10+$D$4*$D$7/100</f>
        <v>279932761.94241494</v>
      </c>
      <c r="AX19" s="54">
        <f>-$F$12*AX10+$D$4*$D$7/100</f>
        <v>279923237.94455791</v>
      </c>
      <c r="AY19" s="54">
        <f>-$F$12*AY10+$D$4*$D$7/100</f>
        <v>279915618.74627233</v>
      </c>
      <c r="AZ19" s="54">
        <f>-$F$12*AZ10+$D$4*$D$7/100</f>
        <v>279909523.38764387</v>
      </c>
      <c r="BA19" s="54">
        <f>-$F$12*BA10+$D$4*$D$7/100</f>
        <v>279904647.10074109</v>
      </c>
      <c r="BB19" s="54">
        <f>-$F$12*BB10+$D$4*$D$7/100</f>
        <v>279900746.07121891</v>
      </c>
      <c r="BC19" s="54">
        <f>-$F$12*BC10+$D$4*$D$7/100</f>
        <v>279897625.24760109</v>
      </c>
      <c r="BD19" s="54">
        <f>-$F$12*BD10+$D$4*$D$7/100</f>
        <v>279895128.58870691</v>
      </c>
    </row>
    <row r="20" spans="1:57" x14ac:dyDescent="0.2">
      <c r="A20" s="41" t="s">
        <v>112</v>
      </c>
      <c r="B20" s="36"/>
      <c r="C20" s="36"/>
      <c r="D20" s="37"/>
      <c r="E20" s="36"/>
      <c r="F20" s="50"/>
      <c r="G20" s="51">
        <f>G17-G19</f>
        <v>-751906993.02243006</v>
      </c>
      <c r="H20" s="51">
        <f>H17-H19</f>
        <v>-639952936.24117804</v>
      </c>
      <c r="I20" s="51">
        <f>I17-I19</f>
        <v>-550389690.81617641</v>
      </c>
      <c r="J20" s="51">
        <f>J17-J19</f>
        <v>-478739094.47617525</v>
      </c>
      <c r="K20" s="51">
        <f>K17-K19</f>
        <v>-421418617.40417427</v>
      </c>
      <c r="L20" s="51">
        <f>L17-L19</f>
        <v>-375562235.74657339</v>
      </c>
      <c r="M20" s="51">
        <f>M17-M19</f>
        <v>-338877130.42049271</v>
      </c>
      <c r="N20" s="51">
        <f>N17-N19</f>
        <v>-309529046.15962821</v>
      </c>
      <c r="O20" s="51">
        <f>O17-O19</f>
        <v>-286050578.75093657</v>
      </c>
      <c r="P20" s="51">
        <f>P17-P19</f>
        <v>-267267804.82398325</v>
      </c>
      <c r="Q20" s="51">
        <f>Q17-Q19</f>
        <v>-252241585.68242061</v>
      </c>
      <c r="R20" s="51">
        <f>R17-R19</f>
        <v>-240220610.36917049</v>
      </c>
      <c r="S20" s="51">
        <f>S17-S19</f>
        <v>-230603830.11857039</v>
      </c>
      <c r="T20" s="51">
        <f>T17-T19</f>
        <v>-222910405.91809034</v>
      </c>
      <c r="U20" s="51">
        <f>U17-U19</f>
        <v>-216755666.55770624</v>
      </c>
      <c r="V20" s="51">
        <f>V17-V19</f>
        <v>-211831875.069399</v>
      </c>
      <c r="W20" s="51">
        <f>W17-W19</f>
        <v>-207892841.87875319</v>
      </c>
      <c r="X20" s="51">
        <f>X17-X19</f>
        <v>-204741615.32623655</v>
      </c>
      <c r="Y20" s="51">
        <f>Y17-Y19</f>
        <v>-202220634.08422327</v>
      </c>
      <c r="Z20" s="51">
        <f>Z17-Z19</f>
        <v>-200203849.09061259</v>
      </c>
      <c r="AA20" s="51">
        <f>AA17-AA19</f>
        <v>-198590421.09572405</v>
      </c>
      <c r="AB20" s="51">
        <f>AB17-AB19</f>
        <v>-197299678.69981325</v>
      </c>
      <c r="AC20" s="51">
        <f>AC17-AC19</f>
        <v>-196267084.78308463</v>
      </c>
      <c r="AD20" s="51">
        <f>AD17-AD19</f>
        <v>-195441009.64970165</v>
      </c>
      <c r="AE20" s="51">
        <f>AE17-AE19</f>
        <v>-194780149.54299533</v>
      </c>
      <c r="AF20" s="51">
        <f>AF17-AF19</f>
        <v>-194251461.45763028</v>
      </c>
      <c r="AG20" s="51">
        <f>AG17-AG19</f>
        <v>-193828510.98933822</v>
      </c>
      <c r="AH20" s="51">
        <f>AH17-AH19</f>
        <v>-193490150.61470455</v>
      </c>
      <c r="AI20" s="51">
        <f>AI17-AI19</f>
        <v>-193219462.31499767</v>
      </c>
      <c r="AJ20" s="51">
        <f>AJ17-AJ19</f>
        <v>-193002911.67523211</v>
      </c>
      <c r="AK20" s="51">
        <f>AK17-AK19</f>
        <v>-192829671.16341972</v>
      </c>
      <c r="AL20" s="51">
        <f>AL17-AL19</f>
        <v>-192691078.75396973</v>
      </c>
      <c r="AM20" s="51">
        <f>AM17-AM19</f>
        <v>-192580204.82640982</v>
      </c>
      <c r="AN20" s="51">
        <f>AN17-AN19</f>
        <v>-192491505.68436182</v>
      </c>
      <c r="AO20" s="51">
        <f>AO17-AO19</f>
        <v>-192420546.37072349</v>
      </c>
      <c r="AP20" s="51">
        <f>AP17-AP19</f>
        <v>-192363778.9198128</v>
      </c>
      <c r="AQ20" s="51">
        <f>AQ17-AQ19</f>
        <v>-192318364.95908421</v>
      </c>
      <c r="AR20" s="51">
        <f>AR17-AR19</f>
        <v>-192282033.79050136</v>
      </c>
      <c r="AS20" s="51">
        <f>AS17-AS19</f>
        <v>-192252968.85563511</v>
      </c>
      <c r="AT20" s="51">
        <f>AT17-AT19</f>
        <v>-192229716.90774208</v>
      </c>
      <c r="AU20" s="51">
        <f>AU17-AU19</f>
        <v>-192211115.34942764</v>
      </c>
      <c r="AV20" s="51">
        <f>AV17-AV19</f>
        <v>-192196234.10277611</v>
      </c>
      <c r="AW20" s="51">
        <f>AW17-AW19</f>
        <v>-192184329.10545492</v>
      </c>
      <c r="AX20" s="51">
        <f>AX17-AX19</f>
        <v>-192174805.10759789</v>
      </c>
      <c r="AY20" s="51">
        <f>AY17-AY19</f>
        <v>-192167185.90931231</v>
      </c>
      <c r="AZ20" s="51">
        <f>AZ17-AZ19</f>
        <v>-192161090.55068386</v>
      </c>
      <c r="BA20" s="51">
        <f>BA17-BA19</f>
        <v>-192156214.26378107</v>
      </c>
      <c r="BB20" s="51">
        <f>BB17-BB19</f>
        <v>-192152313.23425889</v>
      </c>
      <c r="BC20" s="51">
        <f>BC17-BC19</f>
        <v>-192149192.41064107</v>
      </c>
      <c r="BD20" s="51">
        <f>BD17-BD19</f>
        <v>-192146695.75174689</v>
      </c>
    </row>
    <row r="21" spans="1:57" x14ac:dyDescent="0.2">
      <c r="A21" s="45" t="s">
        <v>113</v>
      </c>
      <c r="B21" s="46"/>
      <c r="C21" s="46"/>
      <c r="D21" s="47">
        <v>0</v>
      </c>
      <c r="E21" s="46"/>
      <c r="F21" s="53"/>
      <c r="G21" s="54">
        <f>IF(G20&gt;=0,G20*($D$21/100),0)</f>
        <v>0</v>
      </c>
      <c r="H21" s="54">
        <f>IF(H20&gt;=0,H20*($D$21/100),0)</f>
        <v>0</v>
      </c>
      <c r="I21" s="54">
        <f>IF(I20&gt;=0,I20*($D$21/100),0)</f>
        <v>0</v>
      </c>
      <c r="J21" s="54">
        <f>IF(J20&gt;=0,J20*($D$21/100),0)</f>
        <v>0</v>
      </c>
      <c r="K21" s="54">
        <f>IF(K20&gt;=0,K20*($D$21/100),0)</f>
        <v>0</v>
      </c>
      <c r="L21" s="54">
        <f>IF(L20&gt;=0,L20*($D$21/100),0)</f>
        <v>0</v>
      </c>
      <c r="M21" s="54">
        <f>IF(M20&gt;=0,M20*($D$21/100),0)</f>
        <v>0</v>
      </c>
      <c r="N21" s="54">
        <f>IF(N20&gt;=0,N20*($D$21/100),0)</f>
        <v>0</v>
      </c>
      <c r="O21" s="54">
        <f>IF(O20&gt;=0,O20*($D$21/100),0)</f>
        <v>0</v>
      </c>
      <c r="P21" s="54">
        <f>IF(P20&gt;=0,P20*($D$21/100),0)</f>
        <v>0</v>
      </c>
      <c r="Q21" s="54">
        <f>IF(Q20&gt;=0,Q20*($D$21/100),0)</f>
        <v>0</v>
      </c>
      <c r="R21" s="54">
        <f>IF(R20&gt;=0,R20*($D$21/100),0)</f>
        <v>0</v>
      </c>
      <c r="S21" s="54">
        <f>IF(S20&gt;=0,S20*($D$21/100),0)</f>
        <v>0</v>
      </c>
      <c r="T21" s="54">
        <f>IF(T20&gt;=0,T20*($D$21/100),0)</f>
        <v>0</v>
      </c>
      <c r="U21" s="54">
        <f>IF(U20&gt;=0,U20*($D$21/100),0)</f>
        <v>0</v>
      </c>
      <c r="V21" s="54">
        <f>IF(V20&gt;=0,V20*($D$21/100),0)</f>
        <v>0</v>
      </c>
      <c r="W21" s="54">
        <f>IF(W20&gt;=0,W20*($D$21/100),0)</f>
        <v>0</v>
      </c>
      <c r="X21" s="54">
        <f>IF(X20&gt;=0,X20*($D$21/100),0)</f>
        <v>0</v>
      </c>
      <c r="Y21" s="54">
        <f>IF(Y20&gt;=0,Y20*($D$21/100),0)</f>
        <v>0</v>
      </c>
      <c r="Z21" s="54">
        <f>IF(Z20&gt;=0,Z20*($D$21/100),0)</f>
        <v>0</v>
      </c>
      <c r="AA21" s="54">
        <f>IF(AA20&gt;=0,AA20*($D$21/100),0)</f>
        <v>0</v>
      </c>
      <c r="AB21" s="54">
        <f>IF(AB20&gt;=0,AB20*($D$21/100),0)</f>
        <v>0</v>
      </c>
      <c r="AC21" s="54">
        <f>IF(AC20&gt;=0,AC20*($D$21/100),0)</f>
        <v>0</v>
      </c>
      <c r="AD21" s="54">
        <f>IF(AD20&gt;=0,AD20*($D$21/100),0)</f>
        <v>0</v>
      </c>
      <c r="AE21" s="54">
        <f>IF(AE20&gt;=0,AE20*($D$21/100),0)</f>
        <v>0</v>
      </c>
      <c r="AF21" s="54">
        <f>IF(AF20&gt;=0,AF20*($D$21/100),0)</f>
        <v>0</v>
      </c>
      <c r="AG21" s="54">
        <f>IF(AG20&gt;=0,AG20*($D$21/100),0)</f>
        <v>0</v>
      </c>
      <c r="AH21" s="54">
        <f>IF(AH20&gt;=0,AH20*($D$21/100),0)</f>
        <v>0</v>
      </c>
      <c r="AI21" s="54">
        <f>IF(AI20&gt;=0,AI20*($D$21/100),0)</f>
        <v>0</v>
      </c>
      <c r="AJ21" s="54">
        <f>IF(AJ20&gt;=0,AJ20*($D$21/100),0)</f>
        <v>0</v>
      </c>
      <c r="AK21" s="54">
        <f>IF(AK20&gt;=0,AK20*($D$21/100),0)</f>
        <v>0</v>
      </c>
      <c r="AL21" s="54">
        <f>IF(AL20&gt;=0,AL20*($D$21/100),0)</f>
        <v>0</v>
      </c>
      <c r="AM21" s="54">
        <f>IF(AM20&gt;=0,AM20*($D$21/100),0)</f>
        <v>0</v>
      </c>
      <c r="AN21" s="54">
        <f>IF(AN20&gt;=0,AN20*($D$21/100),0)</f>
        <v>0</v>
      </c>
      <c r="AO21" s="54">
        <f>IF(AO20&gt;=0,AO20*($D$21/100),0)</f>
        <v>0</v>
      </c>
      <c r="AP21" s="54">
        <f>IF(AP20&gt;=0,AP20*($D$21/100),0)</f>
        <v>0</v>
      </c>
      <c r="AQ21" s="54">
        <f>IF(AQ20&gt;=0,AQ20*($D$21/100),0)</f>
        <v>0</v>
      </c>
      <c r="AR21" s="54">
        <f>IF(AR20&gt;=0,AR20*($D$21/100),0)</f>
        <v>0</v>
      </c>
      <c r="AS21" s="54">
        <f>IF(AS20&gt;=0,AS20*($D$21/100),0)</f>
        <v>0</v>
      </c>
      <c r="AT21" s="54">
        <f>IF(AT20&gt;=0,AT20*($D$21/100),0)</f>
        <v>0</v>
      </c>
      <c r="AU21" s="54">
        <f>IF(AU20&gt;=0,AU20*($D$21/100),0)</f>
        <v>0</v>
      </c>
      <c r="AV21" s="54">
        <f>IF(AV20&gt;=0,AV20*($D$21/100),0)</f>
        <v>0</v>
      </c>
      <c r="AW21" s="54">
        <f>IF(AW20&gt;=0,AW20*($D$21/100),0)</f>
        <v>0</v>
      </c>
      <c r="AX21" s="54">
        <f>IF(AX20&gt;=0,AX20*($D$21/100),0)</f>
        <v>0</v>
      </c>
      <c r="AY21" s="54">
        <f>IF(AY20&gt;=0,AY20*($D$21/100),0)</f>
        <v>0</v>
      </c>
      <c r="AZ21" s="54">
        <f>IF(AZ20&gt;=0,AZ20*($D$21/100),0)</f>
        <v>0</v>
      </c>
      <c r="BA21" s="54">
        <f>IF(BA20&gt;=0,BA20*($D$21/100),0)</f>
        <v>0</v>
      </c>
      <c r="BB21" s="54">
        <f>IF(BB20&gt;=0,BB20*($D$21/100),0)</f>
        <v>0</v>
      </c>
      <c r="BC21" s="54">
        <f>IF(BC20&gt;=0,BC20*($D$21/100),0)</f>
        <v>0</v>
      </c>
      <c r="BD21" s="54">
        <f>IF(BD20&gt;=0,BD20*($D$21/100),0)</f>
        <v>0</v>
      </c>
    </row>
    <row r="22" spans="1:57" x14ac:dyDescent="0.2">
      <c r="A22" s="41" t="s">
        <v>114</v>
      </c>
      <c r="B22" s="36"/>
      <c r="C22" s="36"/>
      <c r="D22" s="37"/>
      <c r="E22" s="36"/>
      <c r="F22" s="50"/>
      <c r="G22" s="51">
        <f>G20-G21</f>
        <v>-751906993.02243006</v>
      </c>
      <c r="H22" s="51">
        <f>H20-H21</f>
        <v>-639952936.24117804</v>
      </c>
      <c r="I22" s="51">
        <f>I20-I21</f>
        <v>-550389690.81617641</v>
      </c>
      <c r="J22" s="51">
        <f>J20-J21</f>
        <v>-478739094.47617525</v>
      </c>
      <c r="K22" s="51">
        <f>K20-K21</f>
        <v>-421418617.40417427</v>
      </c>
      <c r="L22" s="51">
        <f>L20-L21</f>
        <v>-375562235.74657339</v>
      </c>
      <c r="M22" s="51">
        <f>M20-M21</f>
        <v>-338877130.42049271</v>
      </c>
      <c r="N22" s="51">
        <f>N20-N21</f>
        <v>-309529046.15962821</v>
      </c>
      <c r="O22" s="51">
        <f>O20-O21</f>
        <v>-286050578.75093657</v>
      </c>
      <c r="P22" s="51">
        <f>P20-P21</f>
        <v>-267267804.82398325</v>
      </c>
      <c r="Q22" s="51">
        <f>Q20-Q21</f>
        <v>-252241585.68242061</v>
      </c>
      <c r="R22" s="51">
        <f>R20-R21</f>
        <v>-240220610.36917049</v>
      </c>
      <c r="S22" s="51">
        <f>S20-S21</f>
        <v>-230603830.11857039</v>
      </c>
      <c r="T22" s="51">
        <f>T20-T21</f>
        <v>-222910405.91809034</v>
      </c>
      <c r="U22" s="51">
        <f>U20-U21</f>
        <v>-216755666.55770624</v>
      </c>
      <c r="V22" s="51">
        <f>V20-V21</f>
        <v>-211831875.069399</v>
      </c>
      <c r="W22" s="51">
        <f>W20-W21</f>
        <v>-207892841.87875319</v>
      </c>
      <c r="X22" s="51">
        <f>X20-X21</f>
        <v>-204741615.32623655</v>
      </c>
      <c r="Y22" s="51">
        <f>Y20-Y21</f>
        <v>-202220634.08422327</v>
      </c>
      <c r="Z22" s="51">
        <f>Z20-Z21</f>
        <v>-200203849.09061259</v>
      </c>
      <c r="AA22" s="51">
        <f>AA20-AA21</f>
        <v>-198590421.09572405</v>
      </c>
      <c r="AB22" s="51">
        <f>AB20-AB21</f>
        <v>-197299678.69981325</v>
      </c>
      <c r="AC22" s="51">
        <f>AC20-AC21</f>
        <v>-196267084.78308463</v>
      </c>
      <c r="AD22" s="51">
        <f>AD20-AD21</f>
        <v>-195441009.64970165</v>
      </c>
      <c r="AE22" s="51">
        <f>AE20-AE21</f>
        <v>-194780149.54299533</v>
      </c>
      <c r="AF22" s="51">
        <f>AF20-AF21</f>
        <v>-194251461.45763028</v>
      </c>
      <c r="AG22" s="51">
        <f>AG20-AG21</f>
        <v>-193828510.98933822</v>
      </c>
      <c r="AH22" s="51">
        <f>AH20-AH21</f>
        <v>-193490150.61470455</v>
      </c>
      <c r="AI22" s="51">
        <f>AI20-AI21</f>
        <v>-193219462.31499767</v>
      </c>
      <c r="AJ22" s="51">
        <f>AJ20-AJ21</f>
        <v>-193002911.67523211</v>
      </c>
      <c r="AK22" s="51">
        <f>AK20-AK21</f>
        <v>-192829671.16341972</v>
      </c>
      <c r="AL22" s="51">
        <f>AL20-AL21</f>
        <v>-192691078.75396973</v>
      </c>
      <c r="AM22" s="51">
        <f>AM20-AM21</f>
        <v>-192580204.82640982</v>
      </c>
      <c r="AN22" s="51">
        <f>AN20-AN21</f>
        <v>-192491505.68436182</v>
      </c>
      <c r="AO22" s="51">
        <f>AO20-AO21</f>
        <v>-192420546.37072349</v>
      </c>
      <c r="AP22" s="51">
        <f>AP20-AP21</f>
        <v>-192363778.9198128</v>
      </c>
      <c r="AQ22" s="51">
        <f>AQ20-AQ21</f>
        <v>-192318364.95908421</v>
      </c>
      <c r="AR22" s="51">
        <f>AR20-AR21</f>
        <v>-192282033.79050136</v>
      </c>
      <c r="AS22" s="51">
        <f>AS20-AS21</f>
        <v>-192252968.85563511</v>
      </c>
      <c r="AT22" s="51">
        <f>AT20-AT21</f>
        <v>-192229716.90774208</v>
      </c>
      <c r="AU22" s="51">
        <f>AU20-AU21</f>
        <v>-192211115.34942764</v>
      </c>
      <c r="AV22" s="51">
        <f>AV20-AV21</f>
        <v>-192196234.10277611</v>
      </c>
      <c r="AW22" s="51">
        <f>AW20-AW21</f>
        <v>-192184329.10545492</v>
      </c>
      <c r="AX22" s="51">
        <f>AX20-AX21</f>
        <v>-192174805.10759789</v>
      </c>
      <c r="AY22" s="51">
        <f>AY20-AY21</f>
        <v>-192167185.90931231</v>
      </c>
      <c r="AZ22" s="51">
        <f>AZ20-AZ21</f>
        <v>-192161090.55068386</v>
      </c>
      <c r="BA22" s="51">
        <f>BA20-BA21</f>
        <v>-192156214.26378107</v>
      </c>
      <c r="BB22" s="51">
        <f>BB20-BB21</f>
        <v>-192152313.23425889</v>
      </c>
      <c r="BC22" s="51">
        <f>BC20-BC21</f>
        <v>-192149192.41064107</v>
      </c>
      <c r="BD22" s="51">
        <f>BD20-BD21</f>
        <v>-192146695.75174689</v>
      </c>
    </row>
    <row r="23" spans="1:57" x14ac:dyDescent="0.2">
      <c r="A23" s="41"/>
      <c r="B23" s="36"/>
      <c r="C23" s="36"/>
      <c r="D23" s="37"/>
      <c r="E23" s="36"/>
      <c r="F23" s="50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40"/>
    </row>
    <row r="24" spans="1:57" x14ac:dyDescent="0.2">
      <c r="A24" s="45" t="s">
        <v>115</v>
      </c>
      <c r="B24" s="46"/>
      <c r="C24" s="46"/>
      <c r="D24" s="47"/>
      <c r="E24" s="46"/>
      <c r="F24" s="53"/>
      <c r="G24" s="54">
        <f>G19</f>
        <v>839655425.85939014</v>
      </c>
      <c r="H24" s="54">
        <f>H19</f>
        <v>727701369.07813811</v>
      </c>
      <c r="I24" s="54">
        <f>I19</f>
        <v>638138123.65313649</v>
      </c>
      <c r="J24" s="54">
        <f>J19</f>
        <v>566487527.31313527</v>
      </c>
      <c r="K24" s="54">
        <f>K19</f>
        <v>509167050.24113429</v>
      </c>
      <c r="L24" s="54">
        <f>L19</f>
        <v>463310668.58353341</v>
      </c>
      <c r="M24" s="54">
        <f>M19</f>
        <v>426625563.25745273</v>
      </c>
      <c r="N24" s="54">
        <f>N19</f>
        <v>397277478.99658823</v>
      </c>
      <c r="O24" s="54">
        <f>O19</f>
        <v>373799011.58789659</v>
      </c>
      <c r="P24" s="54">
        <f>P19</f>
        <v>355016237.66094327</v>
      </c>
      <c r="Q24" s="54">
        <f>Q19</f>
        <v>339990018.51938063</v>
      </c>
      <c r="R24" s="54">
        <f>R19</f>
        <v>327969043.2061305</v>
      </c>
      <c r="S24" s="54">
        <f>S19</f>
        <v>318352262.95553041</v>
      </c>
      <c r="T24" s="54">
        <f>T19</f>
        <v>310658838.75505036</v>
      </c>
      <c r="U24" s="54">
        <f>U19</f>
        <v>304504099.39466625</v>
      </c>
      <c r="V24" s="54">
        <f>V19</f>
        <v>299580307.90635902</v>
      </c>
      <c r="W24" s="54">
        <f>W19</f>
        <v>295641274.7157132</v>
      </c>
      <c r="X24" s="54">
        <f>X19</f>
        <v>292490048.16319656</v>
      </c>
      <c r="Y24" s="54">
        <f>Y19</f>
        <v>289969066.92118329</v>
      </c>
      <c r="Z24" s="54">
        <f>Z19</f>
        <v>287952281.92757261</v>
      </c>
      <c r="AA24" s="54">
        <f>AA19</f>
        <v>286338853.93268406</v>
      </c>
      <c r="AB24" s="54">
        <f>AB19</f>
        <v>285048111.53677326</v>
      </c>
      <c r="AC24" s="54">
        <f>AC19</f>
        <v>284015517.62004465</v>
      </c>
      <c r="AD24" s="54">
        <f>AD19</f>
        <v>283189442.48666167</v>
      </c>
      <c r="AE24" s="54">
        <f>AE19</f>
        <v>282528582.37995535</v>
      </c>
      <c r="AF24" s="54">
        <f>AF19</f>
        <v>281999894.29459029</v>
      </c>
      <c r="AG24" s="54">
        <f>AG19</f>
        <v>281576943.82629824</v>
      </c>
      <c r="AH24" s="54">
        <f>AH19</f>
        <v>281238583.45166457</v>
      </c>
      <c r="AI24" s="54">
        <f>AI19</f>
        <v>280967895.15195769</v>
      </c>
      <c r="AJ24" s="54">
        <f>AJ19</f>
        <v>280751344.51219213</v>
      </c>
      <c r="AK24" s="54">
        <f>AK19</f>
        <v>280578104.00037974</v>
      </c>
      <c r="AL24" s="54">
        <f>AL19</f>
        <v>280439511.59092975</v>
      </c>
      <c r="AM24" s="54">
        <f>AM19</f>
        <v>280328637.66336983</v>
      </c>
      <c r="AN24" s="54">
        <f>AN19</f>
        <v>280239938.52132183</v>
      </c>
      <c r="AO24" s="54">
        <f>AO19</f>
        <v>280168979.2076835</v>
      </c>
      <c r="AP24" s="54">
        <f>AP19</f>
        <v>280112211.75677282</v>
      </c>
      <c r="AQ24" s="54">
        <f>AQ19</f>
        <v>280066797.79604423</v>
      </c>
      <c r="AR24" s="54">
        <f>AR19</f>
        <v>280030466.62746137</v>
      </c>
      <c r="AS24" s="54">
        <f>AS19</f>
        <v>280001401.69259512</v>
      </c>
      <c r="AT24" s="54">
        <f>AT19</f>
        <v>279978149.7447021</v>
      </c>
      <c r="AU24" s="54">
        <f>AU19</f>
        <v>279959548.18638766</v>
      </c>
      <c r="AV24" s="54">
        <f>AV19</f>
        <v>279944666.93973613</v>
      </c>
      <c r="AW24" s="54">
        <f>AW19</f>
        <v>279932761.94241494</v>
      </c>
      <c r="AX24" s="54">
        <f>AX19</f>
        <v>279923237.94455791</v>
      </c>
      <c r="AY24" s="54">
        <f>AY19</f>
        <v>279915618.74627233</v>
      </c>
      <c r="AZ24" s="54">
        <f>AZ19</f>
        <v>279909523.38764387</v>
      </c>
      <c r="BA24" s="54">
        <f>BA19</f>
        <v>279904647.10074109</v>
      </c>
      <c r="BB24" s="54">
        <f>BB19</f>
        <v>279900746.07121891</v>
      </c>
      <c r="BC24" s="54">
        <f>BC19</f>
        <v>279897625.24760109</v>
      </c>
      <c r="BD24" s="54">
        <f>BD19</f>
        <v>279895128.58870691</v>
      </c>
    </row>
    <row r="25" spans="1:57" x14ac:dyDescent="0.2">
      <c r="A25" s="55" t="s">
        <v>116</v>
      </c>
      <c r="B25" s="56"/>
      <c r="C25" s="56"/>
      <c r="D25" s="57"/>
      <c r="E25" s="56"/>
      <c r="F25" s="58">
        <f>F12+F21</f>
        <v>-2798851419.5313005</v>
      </c>
      <c r="G25" s="59">
        <f>G22+G24</f>
        <v>87748432.836960077</v>
      </c>
      <c r="H25" s="59">
        <f>H22+H24</f>
        <v>87748432.836960077</v>
      </c>
      <c r="I25" s="59">
        <f>I22+I24</f>
        <v>87748432.836960077</v>
      </c>
      <c r="J25" s="59">
        <f>J22+J24</f>
        <v>87748432.836960018</v>
      </c>
      <c r="K25" s="59">
        <f>K22+K24</f>
        <v>87748432.836960018</v>
      </c>
      <c r="L25" s="59">
        <f>L22+L24</f>
        <v>87748432.836960018</v>
      </c>
      <c r="M25" s="59">
        <f>M22+M24</f>
        <v>87748432.836960018</v>
      </c>
      <c r="N25" s="59">
        <f>N22+N24</f>
        <v>87748432.836960018</v>
      </c>
      <c r="O25" s="59">
        <f>O22+O24</f>
        <v>87748432.836960018</v>
      </c>
      <c r="P25" s="59">
        <f>P22+P24</f>
        <v>87748432.836960018</v>
      </c>
      <c r="Q25" s="59">
        <f>Q22+Q24</f>
        <v>87748432.836960018</v>
      </c>
      <c r="R25" s="59">
        <f>R22+R24</f>
        <v>87748432.836960018</v>
      </c>
      <c r="S25" s="59">
        <f>S22+S24</f>
        <v>87748432.836960018</v>
      </c>
      <c r="T25" s="59">
        <f>T22+T24</f>
        <v>87748432.836960018</v>
      </c>
      <c r="U25" s="59">
        <f>U22+U24</f>
        <v>87748432.836960018</v>
      </c>
      <c r="V25" s="59">
        <f>V22+V24</f>
        <v>87748432.836960018</v>
      </c>
      <c r="W25" s="59">
        <f>W22+W24</f>
        <v>87748432.836960018</v>
      </c>
      <c r="X25" s="59">
        <f>X22+X24</f>
        <v>87748432.836960018</v>
      </c>
      <c r="Y25" s="59">
        <f>Y22+Y24</f>
        <v>87748432.836960018</v>
      </c>
      <c r="Z25" s="59">
        <f>Z22+Z24</f>
        <v>87748432.836960018</v>
      </c>
      <c r="AA25" s="59">
        <f>AA22+AA24</f>
        <v>87748432.836960018</v>
      </c>
      <c r="AB25" s="59">
        <f>AB22+AB24</f>
        <v>87748432.836960018</v>
      </c>
      <c r="AC25" s="59">
        <f>AC22+AC24</f>
        <v>87748432.836960018</v>
      </c>
      <c r="AD25" s="59">
        <f>AD22+AD24</f>
        <v>87748432.836960018</v>
      </c>
      <c r="AE25" s="59">
        <f>AE22+AE24</f>
        <v>87748432.836960018</v>
      </c>
      <c r="AF25" s="59">
        <f>AF22+AF24</f>
        <v>87748432.836960018</v>
      </c>
      <c r="AG25" s="59">
        <f>AG22+AG24</f>
        <v>87748432.836960018</v>
      </c>
      <c r="AH25" s="59">
        <f>AH22+AH24</f>
        <v>87748432.836960018</v>
      </c>
      <c r="AI25" s="59">
        <f>AI22+AI24</f>
        <v>87748432.836960018</v>
      </c>
      <c r="AJ25" s="59">
        <f>AJ22+AJ24</f>
        <v>87748432.836960018</v>
      </c>
      <c r="AK25" s="59">
        <f>AK22+AK24</f>
        <v>87748432.836960018</v>
      </c>
      <c r="AL25" s="59">
        <f>AL22+AL24</f>
        <v>87748432.836960018</v>
      </c>
      <c r="AM25" s="59">
        <f>AM22+AM24</f>
        <v>87748432.836960018</v>
      </c>
      <c r="AN25" s="59">
        <f>AN22+AN24</f>
        <v>87748432.836960018</v>
      </c>
      <c r="AO25" s="59">
        <f>AO22+AO24</f>
        <v>87748432.836960018</v>
      </c>
      <c r="AP25" s="59">
        <f>AP22+AP24</f>
        <v>87748432.836960018</v>
      </c>
      <c r="AQ25" s="59">
        <f>AQ22+AQ24</f>
        <v>87748432.836960018</v>
      </c>
      <c r="AR25" s="59">
        <f>AR22+AR24</f>
        <v>87748432.836960018</v>
      </c>
      <c r="AS25" s="59">
        <f>AS22+AS24</f>
        <v>87748432.836960018</v>
      </c>
      <c r="AT25" s="59">
        <f>AT22+AT24</f>
        <v>87748432.836960018</v>
      </c>
      <c r="AU25" s="59">
        <f>AU22+AU24</f>
        <v>87748432.836960018</v>
      </c>
      <c r="AV25" s="59">
        <f>AV22+AV24</f>
        <v>87748432.836960018</v>
      </c>
      <c r="AW25" s="59">
        <f>AW22+AW24</f>
        <v>87748432.836960018</v>
      </c>
      <c r="AX25" s="59">
        <f>AX22+AX24</f>
        <v>87748432.836960018</v>
      </c>
      <c r="AY25" s="59">
        <f>AY22+AY24</f>
        <v>87748432.836960018</v>
      </c>
      <c r="AZ25" s="59">
        <f>AZ22+AZ24</f>
        <v>87748432.836960018</v>
      </c>
      <c r="BA25" s="59">
        <f>BA22+BA24</f>
        <v>87748432.836960018</v>
      </c>
      <c r="BB25" s="59">
        <f>BB22+BB24</f>
        <v>87748432.836960018</v>
      </c>
      <c r="BC25" s="59">
        <f>BC22+BC24</f>
        <v>87748432.836960018</v>
      </c>
      <c r="BD25" s="59">
        <f>BD22+BD24</f>
        <v>87748432.836960018</v>
      </c>
    </row>
    <row r="26" spans="1:57" x14ac:dyDescent="0.2">
      <c r="A26" s="60" t="s">
        <v>117</v>
      </c>
      <c r="B26" s="61" t="s">
        <v>116</v>
      </c>
      <c r="C26" s="61"/>
      <c r="D26" s="62"/>
      <c r="E26" s="63">
        <v>0</v>
      </c>
      <c r="F26" s="64">
        <f>(F12+F13)</f>
        <v>-2855942986.6251402</v>
      </c>
      <c r="G26" s="65">
        <f>F26+G25</f>
        <v>-2768194553.7881804</v>
      </c>
      <c r="H26" s="65">
        <f>G26+H25</f>
        <v>-2680446120.9512205</v>
      </c>
      <c r="I26" s="65">
        <f>H26+I25</f>
        <v>-2592697688.1142607</v>
      </c>
      <c r="J26" s="65">
        <f>I26+J25</f>
        <v>-2504949255.2773008</v>
      </c>
      <c r="K26" s="65">
        <f>J26+K25</f>
        <v>-2417200822.440341</v>
      </c>
      <c r="L26" s="65">
        <f>K26+L25</f>
        <v>-2329452389.6033812</v>
      </c>
      <c r="M26" s="65">
        <f>L26+M25</f>
        <v>-2241703956.7664213</v>
      </c>
      <c r="N26" s="65">
        <f>M26+N25</f>
        <v>-2153955523.9294615</v>
      </c>
      <c r="O26" s="65">
        <f>N26+O25</f>
        <v>-2066207091.0925014</v>
      </c>
      <c r="P26" s="65">
        <f>O26+P25</f>
        <v>-1978458658.2555413</v>
      </c>
      <c r="Q26" s="65">
        <f>P26+Q25</f>
        <v>-1890710225.4185812</v>
      </c>
      <c r="R26" s="65">
        <f>Q26+R25</f>
        <v>-1802961792.5816212</v>
      </c>
      <c r="S26" s="65">
        <f>R26+S25</f>
        <v>-1715213359.7446611</v>
      </c>
      <c r="T26" s="65">
        <f>S26+T25</f>
        <v>-1627464926.907701</v>
      </c>
      <c r="U26" s="65">
        <f>T26+U25</f>
        <v>-1539716494.0707409</v>
      </c>
      <c r="V26" s="65">
        <f>U26+V25</f>
        <v>-1451968061.2337809</v>
      </c>
      <c r="W26" s="65">
        <f>V26+W25</f>
        <v>-1364219628.3968208</v>
      </c>
      <c r="X26" s="65">
        <f>W26+X25</f>
        <v>-1276471195.5598607</v>
      </c>
      <c r="Y26" s="65">
        <f>X26+Y25</f>
        <v>-1188722762.7229006</v>
      </c>
      <c r="Z26" s="65">
        <f>Y26+Z25</f>
        <v>-1100974329.8859406</v>
      </c>
      <c r="AA26" s="65">
        <f>Z26+AA25</f>
        <v>-1013225897.0489805</v>
      </c>
      <c r="AB26" s="65">
        <f>AA26+AB25</f>
        <v>-925477464.2120204</v>
      </c>
      <c r="AC26" s="65">
        <f>AB26+AC25</f>
        <v>-837729031.37506032</v>
      </c>
      <c r="AD26" s="65">
        <f>AC26+AD25</f>
        <v>-749980598.53810024</v>
      </c>
      <c r="AE26" s="65">
        <f>AD26+AE25</f>
        <v>-662232165.70114017</v>
      </c>
      <c r="AF26" s="65">
        <f>AE26+AF25</f>
        <v>-574483732.86418009</v>
      </c>
      <c r="AG26" s="65">
        <f>AF26+AG25</f>
        <v>-486735300.02722007</v>
      </c>
      <c r="AH26" s="65">
        <f>AG26+AH25</f>
        <v>-398986867.19026005</v>
      </c>
      <c r="AI26" s="65">
        <f>AH26+AI25</f>
        <v>-311238434.35330003</v>
      </c>
      <c r="AJ26" s="65">
        <f>AI26+AJ25</f>
        <v>-223490001.51634002</v>
      </c>
      <c r="AK26" s="65">
        <f>AJ26+AK25</f>
        <v>-135741568.67938</v>
      </c>
      <c r="AL26" s="65">
        <f>AK26+AL25</f>
        <v>-47993135.842419982</v>
      </c>
      <c r="AM26" s="65">
        <f>AL26+AM25</f>
        <v>39755296.994540036</v>
      </c>
      <c r="AN26" s="65">
        <f>AM26+AN25</f>
        <v>127503729.83150005</v>
      </c>
      <c r="AO26" s="65">
        <f>AN26+AO25</f>
        <v>215252162.66846007</v>
      </c>
      <c r="AP26" s="65">
        <f>AO26+AP25</f>
        <v>303000595.50542009</v>
      </c>
      <c r="AQ26" s="65">
        <f>AP26+AQ25</f>
        <v>390749028.34238011</v>
      </c>
      <c r="AR26" s="65">
        <f>AQ26+AR25</f>
        <v>478497461.17934012</v>
      </c>
      <c r="AS26" s="65">
        <f>AR26+AS25</f>
        <v>566245894.0163002</v>
      </c>
      <c r="AT26" s="65">
        <f>AS26+AT25</f>
        <v>653994326.85326028</v>
      </c>
      <c r="AU26" s="65">
        <f>AT26+AU25</f>
        <v>741742759.69022036</v>
      </c>
      <c r="AV26" s="65">
        <f>AU26+AV25</f>
        <v>829491192.52718043</v>
      </c>
      <c r="AW26" s="65">
        <f>AV26+AW25</f>
        <v>917239625.36414051</v>
      </c>
      <c r="AX26" s="65">
        <f>AW26+AX25</f>
        <v>1004988058.2011006</v>
      </c>
      <c r="AY26" s="65">
        <f>AX26+AY25</f>
        <v>1092736491.0380607</v>
      </c>
      <c r="AZ26" s="65">
        <f>AY26+AZ25</f>
        <v>1180484923.8750207</v>
      </c>
      <c r="BA26" s="65">
        <f>AZ26+BA25</f>
        <v>1268233356.7119808</v>
      </c>
      <c r="BB26" s="65">
        <f>BA26+BB25</f>
        <v>1355981789.5489409</v>
      </c>
      <c r="BC26" s="65">
        <f>BB26+BC25</f>
        <v>1443730222.385901</v>
      </c>
      <c r="BD26" s="65">
        <f>BC26+BD25+D5</f>
        <v>1588570222.3167005</v>
      </c>
    </row>
    <row r="27" spans="1:57" x14ac:dyDescent="0.2">
      <c r="A27" s="41"/>
      <c r="B27" s="36"/>
      <c r="C27" s="36"/>
      <c r="D27" s="37"/>
      <c r="E27" s="36"/>
      <c r="F27" s="40"/>
      <c r="G27" s="36"/>
      <c r="H27" s="36"/>
      <c r="I27" s="36"/>
      <c r="J27" s="36"/>
      <c r="K27" s="36"/>
      <c r="L27" s="36"/>
      <c r="M27" s="36"/>
      <c r="N27" s="36"/>
      <c r="O27" s="36"/>
      <c r="P27" s="51"/>
      <c r="Q27" s="40"/>
    </row>
    <row r="28" spans="1:57" x14ac:dyDescent="0.2">
      <c r="A28" s="41" t="s">
        <v>118</v>
      </c>
      <c r="B28" s="36"/>
      <c r="C28" s="36"/>
      <c r="D28" s="37"/>
      <c r="E28" s="36"/>
      <c r="F28" s="40"/>
      <c r="G28" s="36"/>
      <c r="H28" s="36"/>
      <c r="I28" s="36"/>
      <c r="J28" s="36"/>
      <c r="K28" s="36"/>
      <c r="L28" s="36"/>
      <c r="M28" s="36"/>
      <c r="N28" s="36"/>
      <c r="O28" s="36"/>
      <c r="P28" s="51"/>
      <c r="Q28" s="40"/>
    </row>
    <row r="29" spans="1:57" x14ac:dyDescent="0.2">
      <c r="A29" s="41" t="s">
        <v>119</v>
      </c>
      <c r="B29" s="36"/>
      <c r="C29" s="36"/>
      <c r="D29" s="37"/>
      <c r="E29" s="36"/>
      <c r="F29" s="40">
        <f>1/1.1^F3</f>
        <v>1</v>
      </c>
      <c r="G29" s="67">
        <f>1/1.1^G3</f>
        <v>0.90909090909090906</v>
      </c>
      <c r="H29" s="67">
        <f>1/1.1^H3</f>
        <v>0.82644628099173545</v>
      </c>
      <c r="I29" s="67">
        <f>1/1.1^I3</f>
        <v>0.75131480090157754</v>
      </c>
      <c r="J29" s="67">
        <f>1/1.1^J3</f>
        <v>0.68301345536507052</v>
      </c>
      <c r="K29" s="67">
        <f>1/1.1^K3</f>
        <v>0.62092132305915493</v>
      </c>
      <c r="L29" s="67">
        <f>1/1.1^L3</f>
        <v>0.56447393005377722</v>
      </c>
      <c r="M29" s="67">
        <f>1/1.1^M3</f>
        <v>0.51315811823070645</v>
      </c>
      <c r="N29" s="67">
        <f>1/1.1^N3</f>
        <v>0.46650738020973315</v>
      </c>
      <c r="O29" s="67">
        <f>1/1.1^O3</f>
        <v>0.42409761837248466</v>
      </c>
      <c r="P29" s="67">
        <f>1/1.1^P3</f>
        <v>0.38554328942953148</v>
      </c>
      <c r="Q29" s="67">
        <f>1/1.1^Q3</f>
        <v>0.3504938994813922</v>
      </c>
      <c r="R29" s="67">
        <f>1/1.1^R3</f>
        <v>0.31863081771035656</v>
      </c>
      <c r="S29" s="67">
        <f>1/1.1^S3</f>
        <v>0.28966437973668779</v>
      </c>
      <c r="T29" s="67">
        <f>1/1.1^T3</f>
        <v>0.26333125430607973</v>
      </c>
      <c r="U29" s="67">
        <f>1/1.1^U3</f>
        <v>0.23939204936916339</v>
      </c>
      <c r="V29" s="67">
        <f>1/1.1^V3</f>
        <v>0.21762913579014853</v>
      </c>
      <c r="W29" s="67">
        <f>1/1.1^W3</f>
        <v>0.19784466890013502</v>
      </c>
      <c r="X29" s="67">
        <f>1/1.1^X3</f>
        <v>0.17985878990921364</v>
      </c>
      <c r="Y29" s="67">
        <f>1/1.1^Y3</f>
        <v>0.16350799082655781</v>
      </c>
      <c r="Z29" s="67">
        <f>1/1.1^Z3</f>
        <v>0.14864362802414349</v>
      </c>
      <c r="AA29" s="67">
        <f>1/1.1^AA3</f>
        <v>0.13513057093103953</v>
      </c>
      <c r="AB29" s="67">
        <f>1/1.1^AB3</f>
        <v>0.12284597357367227</v>
      </c>
      <c r="AC29" s="67">
        <f>1/1.1^AC3</f>
        <v>0.11167815779424752</v>
      </c>
      <c r="AD29" s="67">
        <f>1/1.1^AD3</f>
        <v>0.10152559799477048</v>
      </c>
      <c r="AE29" s="67">
        <f>1/1.1^AE3</f>
        <v>9.2295998177064048E-2</v>
      </c>
      <c r="AF29" s="67">
        <f>1/1.1^AF3</f>
        <v>8.3905452888240042E-2</v>
      </c>
      <c r="AG29" s="67">
        <f>1/1.1^AG3</f>
        <v>7.6277684443854576E-2</v>
      </c>
      <c r="AH29" s="67">
        <f>1/1.1^AH3</f>
        <v>6.9343349494413245E-2</v>
      </c>
      <c r="AI29" s="67">
        <f>1/1.1^AI3</f>
        <v>6.3039408631284766E-2</v>
      </c>
      <c r="AJ29" s="67">
        <f>1/1.1^AJ3</f>
        <v>5.7308553301167964E-2</v>
      </c>
      <c r="AK29" s="67">
        <f>1/1.1^AK3</f>
        <v>5.2098684819243603E-2</v>
      </c>
      <c r="AL29" s="67">
        <f>1/1.1^AL3</f>
        <v>4.7362440744766907E-2</v>
      </c>
      <c r="AM29" s="67">
        <f>1/1.1^AM3</f>
        <v>4.3056764313424457E-2</v>
      </c>
      <c r="AN29" s="67">
        <f>1/1.1^AN3</f>
        <v>3.9142513012204054E-2</v>
      </c>
      <c r="AO29" s="67">
        <f>1/1.1^AO3</f>
        <v>3.5584102738367311E-2</v>
      </c>
      <c r="AP29" s="67">
        <f>1/1.1^AP3</f>
        <v>3.2349184307606652E-2</v>
      </c>
      <c r="AQ29" s="67">
        <f>1/1.1^AQ3</f>
        <v>2.94083493705515E-2</v>
      </c>
      <c r="AR29" s="67">
        <f>1/1.1^AR3</f>
        <v>2.6734863064137721E-2</v>
      </c>
      <c r="AS29" s="67">
        <f>1/1.1^AS3</f>
        <v>2.4304420967397926E-2</v>
      </c>
      <c r="AT29" s="67">
        <f>1/1.1^AT3</f>
        <v>2.2094928152179935E-2</v>
      </c>
      <c r="AU29" s="67">
        <f>1/1.1^AU3</f>
        <v>2.0086298320163575E-2</v>
      </c>
      <c r="AV29" s="67">
        <f>1/1.1^AV3</f>
        <v>1.8260271200148705E-2</v>
      </c>
      <c r="AW29" s="67">
        <f>1/1.1^AW3</f>
        <v>1.6600246545589729E-2</v>
      </c>
      <c r="AX29" s="67">
        <f>1/1.1^AX3</f>
        <v>1.5091133223263388E-2</v>
      </c>
      <c r="AY29" s="67">
        <f>1/1.1^AY3</f>
        <v>1.3719212021148534E-2</v>
      </c>
      <c r="AZ29" s="67">
        <f>1/1.1^AZ3</f>
        <v>1.2472010928316847E-2</v>
      </c>
      <c r="BA29" s="67">
        <f>1/1.1^BA3</f>
        <v>1.1338191753015316E-2</v>
      </c>
      <c r="BB29" s="67">
        <f>1/1.1^BB3</f>
        <v>1.0307447048195742E-2</v>
      </c>
      <c r="BC29" s="67">
        <f>1/1.1^BC3</f>
        <v>9.3704064074506734E-3</v>
      </c>
      <c r="BD29" s="67">
        <f>1/1.1^BD3</f>
        <v>8.5185512795006111E-3</v>
      </c>
    </row>
    <row r="30" spans="1:57" x14ac:dyDescent="0.2">
      <c r="A30" s="41" t="s">
        <v>120</v>
      </c>
      <c r="B30" s="36"/>
      <c r="C30" s="36"/>
      <c r="D30" s="37"/>
      <c r="E30" s="36"/>
      <c r="F30" s="40">
        <f>F25*F29</f>
        <v>-2798851419.5313005</v>
      </c>
      <c r="G30" s="51">
        <f>G25*G29</f>
        <v>79771302.579054609</v>
      </c>
      <c r="H30" s="51">
        <f>H25*H29</f>
        <v>72519365.98095873</v>
      </c>
      <c r="I30" s="51">
        <f>I25*I29</f>
        <v>65926696.346326113</v>
      </c>
      <c r="J30" s="51">
        <f>J25*J29</f>
        <v>59933360.314841881</v>
      </c>
      <c r="K30" s="51">
        <f>K25*K29</f>
        <v>54484873.013492607</v>
      </c>
      <c r="L30" s="51">
        <f>L25*L29</f>
        <v>49531702.739538737</v>
      </c>
      <c r="M30" s="51">
        <f>M25*M29</f>
        <v>45028820.672307931</v>
      </c>
      <c r="N30" s="51">
        <f>N25*N29</f>
        <v>40935291.520279936</v>
      </c>
      <c r="O30" s="51">
        <f>O25*O29</f>
        <v>37213901.382072672</v>
      </c>
      <c r="P30" s="51">
        <f>P25*P29</f>
        <v>33830819.438247882</v>
      </c>
      <c r="Q30" s="51">
        <f>Q25*Q29</f>
        <v>30755290.398407158</v>
      </c>
      <c r="R30" s="51">
        <f>R25*R29</f>
        <v>27959354.907642875</v>
      </c>
      <c r="S30" s="51">
        <f>S25*S29</f>
        <v>25417595.370584432</v>
      </c>
      <c r="T30" s="51">
        <f>T25*T29</f>
        <v>23106904.882349476</v>
      </c>
      <c r="U30" s="51">
        <f>U25*U29</f>
        <v>21006277.165772252</v>
      </c>
      <c r="V30" s="51">
        <f>V25*V29</f>
        <v>19096615.605247501</v>
      </c>
      <c r="W30" s="51">
        <f>W25*W29</f>
        <v>17360559.641134091</v>
      </c>
      <c r="X30" s="51">
        <f>X25*X29</f>
        <v>15782326.946485534</v>
      </c>
      <c r="Y30" s="51">
        <f>Y25*Y29</f>
        <v>14347569.951350482</v>
      </c>
      <c r="Z30" s="51">
        <f>Z25*Z29</f>
        <v>13043245.410318622</v>
      </c>
      <c r="AA30" s="51">
        <f>AA25*AA29</f>
        <v>11857495.827562384</v>
      </c>
      <c r="AB30" s="51">
        <f>AB25*AB29</f>
        <v>10779541.661420347</v>
      </c>
      <c r="AC30" s="51">
        <f>AC25*AC29</f>
        <v>9799583.328563951</v>
      </c>
      <c r="AD30" s="51">
        <f>AD25*AD29</f>
        <v>8908712.1168763209</v>
      </c>
      <c r="AE30" s="51">
        <f>AE25*AE29</f>
        <v>8098829.1971602887</v>
      </c>
      <c r="AF30" s="51">
        <f>AF25*AF29</f>
        <v>7362571.9974184446</v>
      </c>
      <c r="AG30" s="51">
        <f>AG25*AG29</f>
        <v>6693247.2703804029</v>
      </c>
      <c r="AH30" s="51">
        <f>AH25*AH29</f>
        <v>6084770.2458003657</v>
      </c>
      <c r="AI30" s="51">
        <f>AI25*AI29</f>
        <v>5531609.3143639686</v>
      </c>
      <c r="AJ30" s="51">
        <f>AJ25*AJ29</f>
        <v>5028735.7403308805</v>
      </c>
      <c r="AK30" s="51">
        <f>AK25*AK29</f>
        <v>4571577.9457553457</v>
      </c>
      <c r="AL30" s="51">
        <f>AL25*AL29</f>
        <v>4155979.9506866774</v>
      </c>
      <c r="AM30" s="51">
        <f>AM25*AM29</f>
        <v>3778163.5915333428</v>
      </c>
      <c r="AN30" s="51">
        <f>AN25*AN29</f>
        <v>3434694.1741212211</v>
      </c>
      <c r="AO30" s="51">
        <f>AO25*AO29</f>
        <v>3122449.2492011092</v>
      </c>
      <c r="AP30" s="51">
        <f>AP25*AP29</f>
        <v>2838590.2265464631</v>
      </c>
      <c r="AQ30" s="51">
        <f>AQ25*AQ29</f>
        <v>2580536.5695876935</v>
      </c>
      <c r="AR30" s="51">
        <f>AR25*AR29</f>
        <v>2345942.3359888117</v>
      </c>
      <c r="AS30" s="51">
        <f>AS25*AS29</f>
        <v>2132674.8508989196</v>
      </c>
      <c r="AT30" s="51">
        <f>AT25*AT29</f>
        <v>1938795.3189990181</v>
      </c>
      <c r="AU30" s="51">
        <f>AU25*AU29</f>
        <v>1762541.1990900163</v>
      </c>
      <c r="AV30" s="51">
        <f>AV25*AV29</f>
        <v>1602310.1809909239</v>
      </c>
      <c r="AW30" s="51">
        <f>AW25*AW29</f>
        <v>1456645.6190826579</v>
      </c>
      <c r="AX30" s="51">
        <f>AX25*AX29</f>
        <v>1324223.2900751433</v>
      </c>
      <c r="AY30" s="51">
        <f>AY25*AY29</f>
        <v>1203839.3546137665</v>
      </c>
      <c r="AZ30" s="51">
        <f>AZ25*AZ29</f>
        <v>1094399.4132852422</v>
      </c>
      <c r="BA30" s="51">
        <f>BA25*BA29</f>
        <v>994908.55753203842</v>
      </c>
      <c r="BB30" s="51">
        <f>BB25*BB29</f>
        <v>904462.32502912579</v>
      </c>
      <c r="BC30" s="51">
        <f>BC25*BC29</f>
        <v>822238.47729920526</v>
      </c>
      <c r="BD30" s="51">
        <f>BD25*BD29</f>
        <v>747489.52481745917</v>
      </c>
      <c r="BE30" s="50">
        <f>SUM(F30:BD30)</f>
        <v>-1928841986.4098763</v>
      </c>
    </row>
    <row r="31" spans="1:57" x14ac:dyDescent="0.2">
      <c r="A31" s="68" t="s">
        <v>121</v>
      </c>
      <c r="B31" s="69"/>
      <c r="C31" s="46"/>
      <c r="D31" s="47"/>
      <c r="E31" s="46"/>
      <c r="F31" s="53">
        <f>BE30</f>
        <v>-1928841986.4098763</v>
      </c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8"/>
    </row>
    <row r="32" spans="1:57" x14ac:dyDescent="0.2">
      <c r="A32" s="41" t="s">
        <v>122</v>
      </c>
      <c r="B32" s="36"/>
      <c r="C32" s="36"/>
      <c r="D32" s="37"/>
      <c r="E32" s="36"/>
      <c r="F32" s="40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40"/>
    </row>
    <row r="33" spans="1:57" x14ac:dyDescent="0.2">
      <c r="A33" s="41" t="s">
        <v>123</v>
      </c>
      <c r="B33" s="36"/>
      <c r="C33" s="36"/>
      <c r="D33" s="37"/>
      <c r="E33" s="36"/>
      <c r="F33" s="40">
        <f>1/1.2^F3</f>
        <v>1</v>
      </c>
      <c r="G33" s="67">
        <f>1/1.2^G3</f>
        <v>0.83333333333333337</v>
      </c>
      <c r="H33" s="67">
        <f>1/1.2^H3</f>
        <v>0.69444444444444442</v>
      </c>
      <c r="I33" s="67">
        <f>1/1.2^I3</f>
        <v>0.57870370370370372</v>
      </c>
      <c r="J33" s="67">
        <f>1/1.2^J3</f>
        <v>0.48225308641975312</v>
      </c>
      <c r="K33" s="67">
        <f>1/1.2^K3</f>
        <v>0.4018775720164609</v>
      </c>
      <c r="L33" s="67">
        <f>1/1.2^L3</f>
        <v>0.33489797668038412</v>
      </c>
      <c r="M33" s="67">
        <f>1/1.2^M3</f>
        <v>0.27908164723365342</v>
      </c>
      <c r="N33" s="67">
        <f>1/1.2^N3</f>
        <v>0.23256803936137788</v>
      </c>
      <c r="O33" s="67">
        <f>1/1.2^O3</f>
        <v>0.1938066994678149</v>
      </c>
      <c r="P33" s="67">
        <f>1/1.2^P3</f>
        <v>0.16150558288984573</v>
      </c>
      <c r="Q33" s="67">
        <f>1/1.2^Q3</f>
        <v>0.13458798574153813</v>
      </c>
      <c r="R33" s="67">
        <f>1/1.2^R3</f>
        <v>0.11215665478461512</v>
      </c>
      <c r="S33" s="67">
        <f>1/1.2^S3</f>
        <v>9.3463878987179255E-2</v>
      </c>
      <c r="T33" s="67">
        <f>1/1.2^T3</f>
        <v>7.7886565822649384E-2</v>
      </c>
      <c r="U33" s="67">
        <f>1/1.2^U3</f>
        <v>6.4905471518874491E-2</v>
      </c>
      <c r="V33" s="67">
        <f>1/1.2^V3</f>
        <v>5.4087892932395409E-2</v>
      </c>
      <c r="W33" s="67">
        <f>1/1.2^W3</f>
        <v>4.5073244110329508E-2</v>
      </c>
      <c r="X33" s="67">
        <f>1/1.2^X3</f>
        <v>3.7561036758607926E-2</v>
      </c>
      <c r="Y33" s="67">
        <f>1/1.2^Y3</f>
        <v>3.1300863965506603E-2</v>
      </c>
      <c r="Z33" s="67">
        <f>1/1.2^Z3</f>
        <v>2.6084053304588836E-2</v>
      </c>
      <c r="AA33" s="67">
        <f>1/1.2^AA3</f>
        <v>2.1736711087157363E-2</v>
      </c>
      <c r="AB33" s="67">
        <f>1/1.2^AB3</f>
        <v>1.8113925905964473E-2</v>
      </c>
      <c r="AC33" s="67">
        <f>1/1.2^AC3</f>
        <v>1.5094938254970394E-2</v>
      </c>
      <c r="AD33" s="67">
        <f>1/1.2^AD3</f>
        <v>1.2579115212475329E-2</v>
      </c>
      <c r="AE33" s="67">
        <f>1/1.2^AE3</f>
        <v>1.0482596010396106E-2</v>
      </c>
      <c r="AF33" s="67">
        <f>1/1.2^AF3</f>
        <v>8.7354966753300893E-3</v>
      </c>
      <c r="AG33" s="67">
        <f>1/1.2^AG3</f>
        <v>7.2795805627750738E-3</v>
      </c>
      <c r="AH33" s="67">
        <f>1/1.2^AH3</f>
        <v>6.0663171356458954E-3</v>
      </c>
      <c r="AI33" s="67">
        <f>1/1.2^AI3</f>
        <v>5.0552642797049132E-3</v>
      </c>
      <c r="AJ33" s="67">
        <f>1/1.2^AJ3</f>
        <v>4.2127202330874275E-3</v>
      </c>
      <c r="AK33" s="67">
        <f>1/1.2^AK3</f>
        <v>3.5106001942395229E-3</v>
      </c>
      <c r="AL33" s="67">
        <f>1/1.2^AL3</f>
        <v>2.9255001618662697E-3</v>
      </c>
      <c r="AM33" s="67">
        <f>1/1.2^AM3</f>
        <v>2.437916801555225E-3</v>
      </c>
      <c r="AN33" s="67">
        <f>1/1.2^AN3</f>
        <v>2.0315973346293542E-3</v>
      </c>
      <c r="AO33" s="67">
        <f>1/1.2^AO3</f>
        <v>1.6929977788577952E-3</v>
      </c>
      <c r="AP33" s="67">
        <f>1/1.2^AP3</f>
        <v>1.4108314823814958E-3</v>
      </c>
      <c r="AQ33" s="67">
        <f>1/1.2^AQ3</f>
        <v>1.1756929019845798E-3</v>
      </c>
      <c r="AR33" s="67">
        <f>1/1.2^AR3</f>
        <v>9.7974408498714997E-4</v>
      </c>
      <c r="AS33" s="67">
        <f>1/1.2^AS3</f>
        <v>8.1645340415595834E-4</v>
      </c>
      <c r="AT33" s="67">
        <f>1/1.2^AT3</f>
        <v>6.8037783679663201E-4</v>
      </c>
      <c r="AU33" s="67">
        <f>1/1.2^AU3</f>
        <v>5.6698153066386001E-4</v>
      </c>
      <c r="AV33" s="67">
        <f>1/1.2^AV3</f>
        <v>4.7248460888654997E-4</v>
      </c>
      <c r="AW33" s="67">
        <f>1/1.2^AW3</f>
        <v>3.93737174072125E-4</v>
      </c>
      <c r="AX33" s="67">
        <f>1/1.2^AX3</f>
        <v>3.2811431172677082E-4</v>
      </c>
      <c r="AY33" s="67">
        <f>1/1.2^AY3</f>
        <v>2.7342859310564233E-4</v>
      </c>
      <c r="AZ33" s="67">
        <f>1/1.2^AZ3</f>
        <v>2.2785716092136866E-4</v>
      </c>
      <c r="BA33" s="67">
        <f>1/1.2^BA3</f>
        <v>1.8988096743447388E-4</v>
      </c>
      <c r="BB33" s="67">
        <f>1/1.2^BB3</f>
        <v>1.5823413952872824E-4</v>
      </c>
      <c r="BC33" s="67">
        <f>1/1.2^BC3</f>
        <v>1.3186178294060687E-4</v>
      </c>
      <c r="BD33" s="67">
        <f>1/1.2^BD3</f>
        <v>1.0988481911717239E-4</v>
      </c>
    </row>
    <row r="34" spans="1:57" x14ac:dyDescent="0.2">
      <c r="A34" s="41" t="s">
        <v>120</v>
      </c>
      <c r="B34" s="36"/>
      <c r="C34" s="36"/>
      <c r="D34" s="37"/>
      <c r="E34" s="36"/>
      <c r="F34" s="40">
        <f>F25*F33</f>
        <v>-2798851419.5313005</v>
      </c>
      <c r="G34" s="51">
        <f>G25*G33</f>
        <v>73123694.030800074</v>
      </c>
      <c r="H34" s="51">
        <f>H25*H33</f>
        <v>60936411.692333385</v>
      </c>
      <c r="I34" s="51">
        <f>I25*I33</f>
        <v>50780343.076944493</v>
      </c>
      <c r="J34" s="51">
        <f>J25*J33</f>
        <v>42316952.564120382</v>
      </c>
      <c r="K34" s="51">
        <f>K25*K33</f>
        <v>35264127.136766985</v>
      </c>
      <c r="L34" s="51">
        <f>L25*L33</f>
        <v>29386772.613972489</v>
      </c>
      <c r="M34" s="51">
        <f>M25*M33</f>
        <v>24488977.178310405</v>
      </c>
      <c r="N34" s="51">
        <f>N25*N33</f>
        <v>20407480.981925339</v>
      </c>
      <c r="O34" s="51">
        <f>O25*O33</f>
        <v>17006234.151604451</v>
      </c>
      <c r="P34" s="51">
        <f>P25*P33</f>
        <v>14171861.793003708</v>
      </c>
      <c r="Q34" s="51">
        <f>Q25*Q33</f>
        <v>11809884.827503091</v>
      </c>
      <c r="R34" s="51">
        <f>R25*R33</f>
        <v>9841570.6895859092</v>
      </c>
      <c r="S34" s="51">
        <f>S25*S33</f>
        <v>8201308.9079882577</v>
      </c>
      <c r="T34" s="51">
        <f>T25*T33</f>
        <v>6834424.0899902154</v>
      </c>
      <c r="U34" s="51">
        <f>U25*U33</f>
        <v>5695353.4083251795</v>
      </c>
      <c r="V34" s="51">
        <f>V25*V33</f>
        <v>4746127.8402709831</v>
      </c>
      <c r="W34" s="51">
        <f>W25*W33</f>
        <v>3955106.5335591524</v>
      </c>
      <c r="X34" s="51">
        <f>X25*X33</f>
        <v>3295922.111299294</v>
      </c>
      <c r="Y34" s="51">
        <f>Y25*Y33</f>
        <v>2746601.7594160782</v>
      </c>
      <c r="Z34" s="51">
        <f>Z25*Z33</f>
        <v>2288834.7995133987</v>
      </c>
      <c r="AA34" s="51">
        <f>AA25*AA33</f>
        <v>1907362.3329278321</v>
      </c>
      <c r="AB34" s="51">
        <f>AB25*AB33</f>
        <v>1589468.6107731936</v>
      </c>
      <c r="AC34" s="51">
        <f>AC25*AC33</f>
        <v>1324557.1756443281</v>
      </c>
      <c r="AD34" s="51">
        <f>AD25*AD33</f>
        <v>1103797.6463702735</v>
      </c>
      <c r="AE34" s="51">
        <f>AE25*AE33</f>
        <v>919831.37197522772</v>
      </c>
      <c r="AF34" s="51">
        <f>AF25*AF33</f>
        <v>766526.14331268985</v>
      </c>
      <c r="AG34" s="51">
        <f>AG25*AG33</f>
        <v>638771.78609390813</v>
      </c>
      <c r="AH34" s="51">
        <f>AH25*AH33</f>
        <v>532309.82174492348</v>
      </c>
      <c r="AI34" s="51">
        <f>AI25*AI33</f>
        <v>443591.51812076964</v>
      </c>
      <c r="AJ34" s="51">
        <f>AJ25*AJ33</f>
        <v>369659.59843397466</v>
      </c>
      <c r="AK34" s="51">
        <f>AK25*AK33</f>
        <v>308049.66536164557</v>
      </c>
      <c r="AL34" s="51">
        <f>AL25*AL33</f>
        <v>256708.05446803803</v>
      </c>
      <c r="AM34" s="51">
        <f>AM25*AM33</f>
        <v>213923.37872336505</v>
      </c>
      <c r="AN34" s="51">
        <f>AN25*AN33</f>
        <v>178269.48226947087</v>
      </c>
      <c r="AO34" s="51">
        <f>AO25*AO33</f>
        <v>148557.90189122575</v>
      </c>
      <c r="AP34" s="51">
        <f>AP25*AP33</f>
        <v>123798.25157602143</v>
      </c>
      <c r="AQ34" s="51">
        <f>AQ25*AQ33</f>
        <v>103165.20964668451</v>
      </c>
      <c r="AR34" s="51">
        <f>AR25*AR33</f>
        <v>85971.008038903776</v>
      </c>
      <c r="AS34" s="51">
        <f>AS25*AS33</f>
        <v>71642.506699086487</v>
      </c>
      <c r="AT34" s="51">
        <f>AT25*AT33</f>
        <v>59702.088915905406</v>
      </c>
      <c r="AU34" s="51">
        <f>AU25*AU33</f>
        <v>49751.740763254507</v>
      </c>
      <c r="AV34" s="51">
        <f>AV25*AV33</f>
        <v>41459.783969378754</v>
      </c>
      <c r="AW34" s="51">
        <f>AW25*AW33</f>
        <v>34549.8199744823</v>
      </c>
      <c r="AX34" s="51">
        <f>AX25*AX33</f>
        <v>28791.516645401913</v>
      </c>
      <c r="AY34" s="51">
        <f>AY25*AY33</f>
        <v>23992.930537834924</v>
      </c>
      <c r="AZ34" s="51">
        <f>AZ25*AZ33</f>
        <v>19994.10878152911</v>
      </c>
      <c r="BA34" s="51">
        <f>BA25*BA33</f>
        <v>16661.757317940923</v>
      </c>
      <c r="BB34" s="51">
        <f>BB25*BB33</f>
        <v>13884.79776495077</v>
      </c>
      <c r="BC34" s="51">
        <f>BC25*BC33</f>
        <v>11570.664804125641</v>
      </c>
      <c r="BD34" s="51">
        <f>BD25*BD33</f>
        <v>9642.2206701047016</v>
      </c>
      <c r="BE34" s="50">
        <f>SUM(F34:BD34)</f>
        <v>-2360157466.449852</v>
      </c>
    </row>
    <row r="35" spans="1:57" x14ac:dyDescent="0.2">
      <c r="A35" s="60" t="s">
        <v>121</v>
      </c>
      <c r="B35" s="63"/>
      <c r="C35" s="63"/>
      <c r="D35" s="62"/>
      <c r="E35" s="63"/>
      <c r="F35" s="64">
        <f>BE34</f>
        <v>-2360157466.449852</v>
      </c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6"/>
    </row>
    <row r="36" spans="1:57" x14ac:dyDescent="0.2">
      <c r="A36" s="41"/>
      <c r="B36" s="36"/>
      <c r="C36" s="36"/>
      <c r="D36" s="36"/>
      <c r="E36" s="36"/>
      <c r="F36" s="40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40"/>
    </row>
    <row r="37" spans="1:57" x14ac:dyDescent="0.2">
      <c r="A37" s="35" t="s">
        <v>124</v>
      </c>
      <c r="B37" s="36"/>
      <c r="C37" s="36"/>
      <c r="D37" s="70">
        <v>1.9292250147082746</v>
      </c>
      <c r="E37" s="36"/>
      <c r="F37" s="40">
        <f>1/(1+($D$37/100))^F3</f>
        <v>1</v>
      </c>
      <c r="G37" s="67">
        <f>1/(1+($D$37/100))^G3</f>
        <v>0.98107289627258631</v>
      </c>
      <c r="H37" s="67">
        <f>1/(1+($D$37/100))^H3</f>
        <v>0.96250402780068089</v>
      </c>
      <c r="I37" s="67">
        <f>1/(1+($D$37/100))^I3</f>
        <v>0.94428661422844407</v>
      </c>
      <c r="J37" s="67">
        <f>1/(1+($D$37/100))^J3</f>
        <v>0.92641400353253378</v>
      </c>
      <c r="K37" s="67">
        <f>1/(1+($D$37/100))^K3</f>
        <v>0.90887966959314503</v>
      </c>
      <c r="L37" s="67">
        <f>1/(1+($D$37/100))^L3</f>
        <v>0.89167720981101806</v>
      </c>
      <c r="M37" s="67">
        <f>1/(1+($D$37/100))^M3</f>
        <v>0.87480034276955421</v>
      </c>
      <c r="N37" s="67">
        <f>1/(1+($D$37/100))^N3</f>
        <v>0.85824290594117758</v>
      </c>
      <c r="O37" s="67">
        <f>1/(1+($D$37/100))^O3</f>
        <v>0.84199885343711189</v>
      </c>
      <c r="P37" s="67">
        <f>1/(1+($D$37/100))^P3</f>
        <v>0.82606225379974429</v>
      </c>
      <c r="Q37" s="67">
        <f>1/(1+($D$37/100))^Q3</f>
        <v>0.81042728783677553</v>
      </c>
      <c r="R37" s="67">
        <f>1/(1+($D$37/100))^R3</f>
        <v>0.79508824649636212</v>
      </c>
      <c r="S37" s="67">
        <f>1/(1+($D$37/100))^S3</f>
        <v>0.78003952878247806</v>
      </c>
      <c r="T37" s="67">
        <f>1/(1+($D$37/100))^T3</f>
        <v>0.76527563970972912</v>
      </c>
      <c r="U37" s="67">
        <f>1/(1+($D$37/100))^U3</f>
        <v>0.75079118829688041</v>
      </c>
      <c r="V37" s="67">
        <f>1/(1+($D$37/100))^V3</f>
        <v>0.73658088559835688</v>
      </c>
      <c r="W37" s="67">
        <f>1/(1+($D$37/100))^W3</f>
        <v>0.72263954277300657</v>
      </c>
      <c r="X37" s="67">
        <f>1/(1+($D$37/100))^X3</f>
        <v>0.70896206918941107</v>
      </c>
      <c r="Y37" s="67">
        <f>1/(1+($D$37/100))^Y3</f>
        <v>0.69554347056706134</v>
      </c>
      <c r="Z37" s="67">
        <f>1/(1+($D$37/100))^Z3</f>
        <v>0.68237884715271302</v>
      </c>
      <c r="AA37" s="67">
        <f>1/(1+($D$37/100))^AA3</f>
        <v>0.66946339193126081</v>
      </c>
      <c r="AB37" s="67">
        <f>1/(1+($D$37/100))^AB3</f>
        <v>0.65679238887047153</v>
      </c>
      <c r="AC37" s="67">
        <f>1/(1+($D$37/100))^AC3</f>
        <v>0.64436121119894429</v>
      </c>
      <c r="AD37" s="67">
        <f>1/(1+($D$37/100))^AD3</f>
        <v>0.6321653197166599</v>
      </c>
      <c r="AE37" s="67">
        <f>1/(1+($D$37/100))^AE3</f>
        <v>0.62020026113750892</v>
      </c>
      <c r="AF37" s="67">
        <f>1/(1+($D$37/100))^AF3</f>
        <v>0.60846166646319033</v>
      </c>
      <c r="AG37" s="67">
        <f>1/(1+($D$37/100))^AG3</f>
        <v>0.59694524938788662</v>
      </c>
      <c r="AH37" s="67">
        <f>1/(1+($D$37/100))^AH3</f>
        <v>0.58564680473313502</v>
      </c>
      <c r="AI37" s="67">
        <f>1/(1+($D$37/100))^AI3</f>
        <v>0.57456220691232263</v>
      </c>
      <c r="AJ37" s="67">
        <f>1/(1+($D$37/100))^AJ3</f>
        <v>0.56368740842424137</v>
      </c>
      <c r="AK37" s="67">
        <f>1/(1+($D$37/100))^AK3</f>
        <v>0.55301843837515885</v>
      </c>
      <c r="AL37" s="67">
        <f>1/(1+($D$37/100))^AL3</f>
        <v>0.54255140102885968</v>
      </c>
      <c r="AM37" s="67">
        <f>1/(1+($D$37/100))^AM3</f>
        <v>0.5322824743841329</v>
      </c>
      <c r="AN37" s="67">
        <f>1/(1+($D$37/100))^AN3</f>
        <v>0.52220790877917989</v>
      </c>
      <c r="AO37" s="67">
        <f>1/(1+($D$37/100))^AO3</f>
        <v>0.51232402552244061</v>
      </c>
      <c r="AP37" s="67">
        <f>1/(1+($D$37/100))^AP3</f>
        <v>0.50262721554933121</v>
      </c>
      <c r="AQ37" s="67">
        <f>1/(1+($D$37/100))^AQ3</f>
        <v>0.4931139381044079</v>
      </c>
      <c r="AR37" s="67">
        <f>1/(1+($D$37/100))^AR3</f>
        <v>0.48378071944847223</v>
      </c>
      <c r="AS37" s="67">
        <f>1/(1+($D$37/100))^AS3</f>
        <v>0.47462415159014826</v>
      </c>
      <c r="AT37" s="67">
        <f>1/(1+($D$37/100))^AT3</f>
        <v>0.46564089104146567</v>
      </c>
      <c r="AU37" s="67">
        <f>1/(1+($D$37/100))^AU3</f>
        <v>0.45682765759699856</v>
      </c>
      <c r="AV37" s="67">
        <f>1/(1+($D$37/100))^AV3</f>
        <v>0.44818123313610869</v>
      </c>
      <c r="AW37" s="67">
        <f>1/(1+($D$37/100))^AW3</f>
        <v>0.43969846044786148</v>
      </c>
      <c r="AX37" s="67">
        <f>1/(1+($D$37/100))^AX3</f>
        <v>0.43137624207818054</v>
      </c>
      <c r="AY37" s="67">
        <f>1/(1+($D$37/100))^AY3</f>
        <v>0.42321153919882498</v>
      </c>
      <c r="AZ37" s="67">
        <f>1/(1+($D$37/100))^AZ3</f>
        <v>0.41520137049777039</v>
      </c>
      <c r="BA37" s="67">
        <f>1/(1+($D$37/100))^BA3</f>
        <v>0.40734281109059478</v>
      </c>
      <c r="BB37" s="67">
        <f>1/(1+($D$37/100))^BB3</f>
        <v>0.39963299145246667</v>
      </c>
      <c r="BC37" s="67">
        <f>1/(1+($D$37/100))^BC3</f>
        <v>0.39206909637034926</v>
      </c>
      <c r="BD37" s="67">
        <f>1/(1+($D$37/100))^BD3</f>
        <v>0.38464836391503426</v>
      </c>
    </row>
    <row r="38" spans="1:57" ht="15" thickBot="1" x14ac:dyDescent="0.25">
      <c r="A38" s="41" t="s">
        <v>120</v>
      </c>
      <c r="B38" s="36"/>
      <c r="C38" s="36"/>
      <c r="D38" s="36"/>
      <c r="E38" s="36"/>
      <c r="F38" s="40">
        <f>F25*F37</f>
        <v>-2798851419.5313005</v>
      </c>
      <c r="G38" s="51">
        <f>G25*G37</f>
        <v>86087609.146736935</v>
      </c>
      <c r="H38" s="51">
        <f>H25*H37</f>
        <v>84458220.0387716</v>
      </c>
      <c r="I38" s="51">
        <f>I25*I37</f>
        <v>82859670.547465056</v>
      </c>
      <c r="J38" s="51">
        <f>J25*J37</f>
        <v>81291376.968193784</v>
      </c>
      <c r="K38" s="51">
        <f>K25*K37</f>
        <v>79752766.644172505</v>
      </c>
      <c r="L38" s="51">
        <f>L25*L37</f>
        <v>78243277.757350028</v>
      </c>
      <c r="M38" s="51">
        <f>M25*M37</f>
        <v>76762359.123263836</v>
      </c>
      <c r="N38" s="51">
        <f>N25*N37</f>
        <v>75309469.98977682</v>
      </c>
      <c r="O38" s="51">
        <f>O25*O37</f>
        <v>73884079.839623749</v>
      </c>
      <c r="P38" s="51">
        <f>P25*P37</f>
        <v>72485668.196694687</v>
      </c>
      <c r="Q38" s="51">
        <f>Q25*Q37</f>
        <v>71113724.435984969</v>
      </c>
      <c r="R38" s="51">
        <f>R25*R37</f>
        <v>69767747.597142339</v>
      </c>
      <c r="S38" s="51">
        <f>S25*S37</f>
        <v>68447246.201543212</v>
      </c>
      <c r="T38" s="51">
        <f>T25*T37</f>
        <v>67151738.072830781</v>
      </c>
      <c r="U38" s="51">
        <f>U25*U37</f>
        <v>65880750.160850212</v>
      </c>
      <c r="V38" s="51">
        <f>V25*V37</f>
        <v>64633818.368915953</v>
      </c>
      <c r="W38" s="51">
        <f>W25*W37</f>
        <v>63410487.384348661</v>
      </c>
      <c r="X38" s="51">
        <f>X25*X37</f>
        <v>62210310.512219235</v>
      </c>
      <c r="Y38" s="51">
        <f>Y25*Y37</f>
        <v>61032849.512239859</v>
      </c>
      <c r="Z38" s="51">
        <f>Z25*Z37</f>
        <v>59877674.438742042</v>
      </c>
      <c r="AA38" s="51">
        <f>AA25*AA37</f>
        <v>58744363.483683683</v>
      </c>
      <c r="AB38" s="51">
        <f>AB25*AB37</f>
        <v>57632502.822627097</v>
      </c>
      <c r="AC38" s="51">
        <f>AC25*AC37</f>
        <v>56541686.46363277</v>
      </c>
      <c r="AD38" s="51">
        <f>AD25*AD37</f>
        <v>55471516.099012688</v>
      </c>
      <c r="AE38" s="51">
        <f>AE25*AE37</f>
        <v>54421600.95988977</v>
      </c>
      <c r="AF38" s="51">
        <f>AF25*AF37</f>
        <v>53391557.673510022</v>
      </c>
      <c r="AG38" s="51">
        <f>AG25*AG37</f>
        <v>52381010.12325532</v>
      </c>
      <c r="AH38" s="51">
        <f>AH25*AH37</f>
        <v>51389589.311305739</v>
      </c>
      <c r="AI38" s="51">
        <f>AI25*AI37</f>
        <v>50416933.223901466</v>
      </c>
      <c r="AJ38" s="51">
        <f>AJ25*AJ37</f>
        <v>49462686.699154593</v>
      </c>
      <c r="AK38" s="51">
        <f>AK25*AK37</f>
        <v>48526501.29736314</v>
      </c>
      <c r="AL38" s="51">
        <f>AL25*AL37</f>
        <v>47608035.17377945</v>
      </c>
      <c r="AM38" s="51">
        <f>AM25*AM37</f>
        <v>46706952.953786977</v>
      </c>
      <c r="AN38" s="51">
        <f>AN25*AN37</f>
        <v>45822925.610439211</v>
      </c>
      <c r="AO38" s="51">
        <f>AO25*AO37</f>
        <v>44955630.34431687</v>
      </c>
      <c r="AP38" s="51">
        <f>AP25*AP37</f>
        <v>44104750.465658717</v>
      </c>
      <c r="AQ38" s="51">
        <f>AQ25*AQ37</f>
        <v>43269975.278723493</v>
      </c>
      <c r="AR38" s="51">
        <f>AR25*AR37</f>
        <v>42450999.968340464</v>
      </c>
      <c r="AS38" s="51">
        <f>AS25*AS37</f>
        <v>41647525.488607258</v>
      </c>
      <c r="AT38" s="51">
        <f>AT25*AT37</f>
        <v>40859258.453694269</v>
      </c>
      <c r="AU38" s="51">
        <f>AU25*AU37</f>
        <v>40085911.030715995</v>
      </c>
      <c r="AV38" s="51">
        <f>AV25*AV37</f>
        <v>39327200.834629752</v>
      </c>
      <c r="AW38" s="51">
        <f>AW25*AW37</f>
        <v>38582850.825123891</v>
      </c>
      <c r="AX38" s="51">
        <f>AX25*AX37</f>
        <v>37852589.205457434</v>
      </c>
      <c r="AY38" s="51">
        <f>AY25*AY37</f>
        <v>37136149.323214568</v>
      </c>
      <c r="AZ38" s="51">
        <f>AZ25*AZ37</f>
        <v>36433269.572937354</v>
      </c>
      <c r="BA38" s="51">
        <f>BA25*BA37</f>
        <v>35743693.300601549</v>
      </c>
      <c r="BB38" s="51">
        <f>BB25*BB37</f>
        <v>35067168.709900185</v>
      </c>
      <c r="BC38" s="51">
        <f>BC25*BC37</f>
        <v>34403448.770301193</v>
      </c>
      <c r="BD38" s="51">
        <f>BD25*BD37</f>
        <v>33752291.126844943</v>
      </c>
      <c r="BE38" s="40">
        <f>SUM(F38:BD38)</f>
        <v>-2.4303793907165527E-5</v>
      </c>
    </row>
    <row r="39" spans="1:57" ht="15.75" thickTop="1" thickBot="1" x14ac:dyDescent="0.25">
      <c r="A39" s="71" t="s">
        <v>125</v>
      </c>
      <c r="B39" s="36"/>
      <c r="C39" s="36"/>
      <c r="D39" s="84">
        <f>D37</f>
        <v>1.9292250147082746</v>
      </c>
      <c r="E39" s="36"/>
      <c r="F39" s="40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40"/>
    </row>
    <row r="40" spans="1:57" ht="15.75" thickTop="1" thickBot="1" x14ac:dyDescent="0.25">
      <c r="A40" s="71" t="s">
        <v>121</v>
      </c>
      <c r="B40" s="36"/>
      <c r="C40" s="36"/>
      <c r="D40" s="72">
        <f>BE38</f>
        <v>-2.4303793907165527E-5</v>
      </c>
      <c r="E40" s="36"/>
      <c r="F40" s="73" t="s">
        <v>126</v>
      </c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40"/>
    </row>
    <row r="41" spans="1:57" ht="15.75" thickTop="1" thickBot="1" x14ac:dyDescent="0.25">
      <c r="A41" s="74"/>
      <c r="B41" s="75"/>
      <c r="C41" s="75"/>
      <c r="D41" s="75"/>
      <c r="E41" s="75"/>
      <c r="F41" s="76"/>
      <c r="G41" s="75"/>
      <c r="H41" s="75"/>
      <c r="I41" s="75"/>
      <c r="J41" s="75"/>
      <c r="K41" s="75"/>
      <c r="L41" s="75"/>
      <c r="M41" s="75"/>
      <c r="N41" s="75"/>
      <c r="O41" s="75"/>
      <c r="P41" s="75"/>
      <c r="Q41" s="76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Cost Estimation</vt:lpstr>
      <vt:lpstr>Investment Analysis</vt:lpstr>
      <vt:lpstr>Sheet3</vt:lpstr>
    </vt:vector>
  </TitlesOfParts>
  <Company>NTNU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Kasper Johnsen Linnestad</dc:creator>
  <cp:lastModifiedBy>Kasper Johnsen Linnestad</cp:lastModifiedBy>
  <cp:lastPrinted>2013-11-10T16:09:24Z</cp:lastPrinted>
  <dcterms:created xsi:type="dcterms:W3CDTF">2013-11-10T10:13:38Z</dcterms:created>
  <dcterms:modified xsi:type="dcterms:W3CDTF">2013-11-21T20:21:41Z</dcterms:modified>
</cp:coreProperties>
</file>